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wers\Desktop\ECF\Land\2024\"/>
    </mc:Choice>
  </mc:AlternateContent>
  <bookViews>
    <workbookView xWindow="0" yWindow="0" windowWidth="19260" windowHeight="11310" activeTab="2"/>
  </bookViews>
  <sheets>
    <sheet name="Overal Land Analysis" sheetId="2" r:id="rId1"/>
    <sheet name="Land Table Breakdowns" sheetId="3" r:id="rId2"/>
    <sheet name="Vacant Land Sales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2" i="3" l="1"/>
  <c r="K132" i="3"/>
  <c r="T132" i="3" s="1"/>
  <c r="M132" i="3"/>
  <c r="R132" i="3"/>
  <c r="S132" i="3"/>
  <c r="I152" i="3"/>
  <c r="K152" i="3"/>
  <c r="T152" i="3" s="1"/>
  <c r="M152" i="3"/>
  <c r="R152" i="3"/>
  <c r="S152" i="3" l="1"/>
  <c r="M151" i="3"/>
  <c r="M153" i="3"/>
  <c r="M154" i="3"/>
  <c r="M150" i="3"/>
  <c r="M155" i="3" s="1"/>
  <c r="M133" i="3"/>
  <c r="M134" i="3"/>
  <c r="M135" i="3"/>
  <c r="M136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3" i="3"/>
  <c r="K127" i="3"/>
  <c r="T127" i="3" s="1"/>
  <c r="I127" i="3"/>
  <c r="K126" i="3"/>
  <c r="T126" i="3" s="1"/>
  <c r="I126" i="3"/>
  <c r="K125" i="3"/>
  <c r="S125" i="3" s="1"/>
  <c r="I125" i="3"/>
  <c r="K124" i="3"/>
  <c r="S124" i="3" s="1"/>
  <c r="I124" i="3"/>
  <c r="K123" i="3"/>
  <c r="R123" i="3" s="1"/>
  <c r="I123" i="3"/>
  <c r="Q155" i="3"/>
  <c r="P155" i="3"/>
  <c r="N155" i="3"/>
  <c r="L155" i="3"/>
  <c r="J155" i="3"/>
  <c r="H155" i="3"/>
  <c r="G155" i="3"/>
  <c r="D155" i="3"/>
  <c r="K154" i="3"/>
  <c r="T154" i="3" s="1"/>
  <c r="I154" i="3"/>
  <c r="K153" i="3"/>
  <c r="T153" i="3" s="1"/>
  <c r="I153" i="3"/>
  <c r="K150" i="3"/>
  <c r="S150" i="3" s="1"/>
  <c r="I150" i="3"/>
  <c r="K161" i="3"/>
  <c r="R161" i="3" s="1"/>
  <c r="I161" i="3"/>
  <c r="K151" i="3"/>
  <c r="T151" i="3" s="1"/>
  <c r="I151" i="3"/>
  <c r="Q137" i="3"/>
  <c r="P137" i="3"/>
  <c r="N137" i="3"/>
  <c r="L137" i="3"/>
  <c r="J137" i="3"/>
  <c r="H137" i="3"/>
  <c r="G137" i="3"/>
  <c r="D137" i="3"/>
  <c r="K136" i="3"/>
  <c r="T136" i="3" s="1"/>
  <c r="I136" i="3"/>
  <c r="K135" i="3"/>
  <c r="R135" i="3" s="1"/>
  <c r="I135" i="3"/>
  <c r="K134" i="3"/>
  <c r="I134" i="3"/>
  <c r="K133" i="3"/>
  <c r="S133" i="3" s="1"/>
  <c r="I133" i="3"/>
  <c r="Q117" i="3"/>
  <c r="P117" i="3"/>
  <c r="N117" i="3"/>
  <c r="L117" i="3"/>
  <c r="J117" i="3"/>
  <c r="H117" i="3"/>
  <c r="G117" i="3"/>
  <c r="D117" i="3"/>
  <c r="K62" i="3"/>
  <c r="R62" i="3" s="1"/>
  <c r="I62" i="3"/>
  <c r="K35" i="3"/>
  <c r="T35" i="3" s="1"/>
  <c r="I35" i="3"/>
  <c r="K40" i="3"/>
  <c r="T40" i="3" s="1"/>
  <c r="I40" i="3"/>
  <c r="K101" i="3"/>
  <c r="I101" i="3"/>
  <c r="K20" i="3"/>
  <c r="R20" i="3" s="1"/>
  <c r="I20" i="3"/>
  <c r="K75" i="3"/>
  <c r="T75" i="3" s="1"/>
  <c r="I75" i="3"/>
  <c r="K76" i="3"/>
  <c r="T76" i="3" s="1"/>
  <c r="I76" i="3"/>
  <c r="K93" i="3"/>
  <c r="I93" i="3"/>
  <c r="K46" i="3"/>
  <c r="I46" i="3"/>
  <c r="K86" i="3"/>
  <c r="R86" i="3" s="1"/>
  <c r="I86" i="3"/>
  <c r="K84" i="3"/>
  <c r="T84" i="3" s="1"/>
  <c r="I84" i="3"/>
  <c r="K90" i="3"/>
  <c r="T90" i="3" s="1"/>
  <c r="I90" i="3"/>
  <c r="K82" i="3"/>
  <c r="T82" i="3" s="1"/>
  <c r="I82" i="3"/>
  <c r="K60" i="3"/>
  <c r="I60" i="3"/>
  <c r="K16" i="3"/>
  <c r="I16" i="3"/>
  <c r="K77" i="3"/>
  <c r="R77" i="3" s="1"/>
  <c r="I77" i="3"/>
  <c r="K30" i="3"/>
  <c r="T30" i="3" s="1"/>
  <c r="I30" i="3"/>
  <c r="K114" i="3"/>
  <c r="T114" i="3" s="1"/>
  <c r="I114" i="3"/>
  <c r="K55" i="3"/>
  <c r="T55" i="3" s="1"/>
  <c r="I55" i="3"/>
  <c r="K106" i="3"/>
  <c r="I106" i="3"/>
  <c r="K103" i="3"/>
  <c r="I103" i="3"/>
  <c r="K73" i="3"/>
  <c r="R73" i="3" s="1"/>
  <c r="I73" i="3"/>
  <c r="K47" i="3"/>
  <c r="T47" i="3" s="1"/>
  <c r="I47" i="3"/>
  <c r="K45" i="3"/>
  <c r="T45" i="3" s="1"/>
  <c r="I45" i="3"/>
  <c r="K95" i="3"/>
  <c r="T95" i="3" s="1"/>
  <c r="I95" i="3"/>
  <c r="K92" i="3"/>
  <c r="R92" i="3" s="1"/>
  <c r="I92" i="3"/>
  <c r="K49" i="3"/>
  <c r="T49" i="3" s="1"/>
  <c r="I49" i="3"/>
  <c r="K3" i="3"/>
  <c r="T3" i="3" s="1"/>
  <c r="I3" i="3"/>
  <c r="K116" i="3"/>
  <c r="I116" i="3"/>
  <c r="K115" i="3"/>
  <c r="I115" i="3"/>
  <c r="K43" i="3"/>
  <c r="R43" i="3" s="1"/>
  <c r="I43" i="3"/>
  <c r="K29" i="3"/>
  <c r="R29" i="3" s="1"/>
  <c r="I29" i="3"/>
  <c r="K19" i="3"/>
  <c r="T19" i="3" s="1"/>
  <c r="I19" i="3"/>
  <c r="K100" i="3"/>
  <c r="I100" i="3"/>
  <c r="K28" i="3"/>
  <c r="R28" i="3" s="1"/>
  <c r="I28" i="3"/>
  <c r="K14" i="3"/>
  <c r="T14" i="3" s="1"/>
  <c r="I14" i="3"/>
  <c r="K78" i="3"/>
  <c r="T78" i="3" s="1"/>
  <c r="I78" i="3"/>
  <c r="K56" i="3"/>
  <c r="T56" i="3" s="1"/>
  <c r="I56" i="3"/>
  <c r="K109" i="3"/>
  <c r="I109" i="3"/>
  <c r="K88" i="3"/>
  <c r="I88" i="3"/>
  <c r="K83" i="3"/>
  <c r="R83" i="3" s="1"/>
  <c r="I83" i="3"/>
  <c r="K6" i="3"/>
  <c r="S6" i="3" s="1"/>
  <c r="I6" i="3"/>
  <c r="K74" i="3"/>
  <c r="T74" i="3" s="1"/>
  <c r="I74" i="3"/>
  <c r="K111" i="3"/>
  <c r="I111" i="3"/>
  <c r="K48" i="3"/>
  <c r="I48" i="3"/>
  <c r="K44" i="3"/>
  <c r="R44" i="3" s="1"/>
  <c r="I44" i="3"/>
  <c r="K66" i="3"/>
  <c r="T66" i="3" s="1"/>
  <c r="I66" i="3"/>
  <c r="K65" i="3"/>
  <c r="T65" i="3" s="1"/>
  <c r="I65" i="3"/>
  <c r="K107" i="3"/>
  <c r="T107" i="3" s="1"/>
  <c r="I107" i="3"/>
  <c r="K23" i="3"/>
  <c r="I23" i="3"/>
  <c r="K36" i="3"/>
  <c r="I36" i="3"/>
  <c r="K71" i="3"/>
  <c r="R71" i="3" s="1"/>
  <c r="I71" i="3"/>
  <c r="K64" i="3"/>
  <c r="T64" i="3" s="1"/>
  <c r="I64" i="3"/>
  <c r="K85" i="3"/>
  <c r="T85" i="3" s="1"/>
  <c r="I85" i="3"/>
  <c r="K110" i="3"/>
  <c r="T110" i="3" s="1"/>
  <c r="I110" i="3"/>
  <c r="K105" i="3"/>
  <c r="I105" i="3"/>
  <c r="K59" i="3"/>
  <c r="R59" i="3" s="1"/>
  <c r="I59" i="3"/>
  <c r="K57" i="3"/>
  <c r="T57" i="3" s="1"/>
  <c r="I57" i="3"/>
  <c r="K104" i="3"/>
  <c r="T104" i="3" s="1"/>
  <c r="I104" i="3"/>
  <c r="K58" i="3"/>
  <c r="T58" i="3" s="1"/>
  <c r="I58" i="3"/>
  <c r="K63" i="3"/>
  <c r="I63" i="3"/>
  <c r="K70" i="3"/>
  <c r="I70" i="3"/>
  <c r="K17" i="3"/>
  <c r="T17" i="3" s="1"/>
  <c r="I17" i="3"/>
  <c r="K21" i="3"/>
  <c r="T21" i="3" s="1"/>
  <c r="I21" i="3"/>
  <c r="K67" i="3"/>
  <c r="T67" i="3" s="1"/>
  <c r="I67" i="3"/>
  <c r="K9" i="3"/>
  <c r="I9" i="3"/>
  <c r="K52" i="3"/>
  <c r="I52" i="3"/>
  <c r="K69" i="3"/>
  <c r="R69" i="3" s="1"/>
  <c r="I69" i="3"/>
  <c r="K8" i="3"/>
  <c r="T8" i="3" s="1"/>
  <c r="I8" i="3"/>
  <c r="K79" i="3"/>
  <c r="T79" i="3" s="1"/>
  <c r="I79" i="3"/>
  <c r="K108" i="3"/>
  <c r="T108" i="3" s="1"/>
  <c r="I108" i="3"/>
  <c r="K12" i="3"/>
  <c r="I12" i="3"/>
  <c r="K96" i="3"/>
  <c r="I96" i="3"/>
  <c r="K94" i="3"/>
  <c r="R94" i="3" s="1"/>
  <c r="I94" i="3"/>
  <c r="K89" i="3"/>
  <c r="T89" i="3" s="1"/>
  <c r="I89" i="3"/>
  <c r="K42" i="3"/>
  <c r="T42" i="3" s="1"/>
  <c r="I42" i="3"/>
  <c r="K37" i="3"/>
  <c r="T37" i="3" s="1"/>
  <c r="I37" i="3"/>
  <c r="K18" i="3"/>
  <c r="T18" i="3" s="1"/>
  <c r="I18" i="3"/>
  <c r="K4" i="3"/>
  <c r="S4" i="3" s="1"/>
  <c r="I4" i="3"/>
  <c r="K10" i="3"/>
  <c r="R10" i="3" s="1"/>
  <c r="I10" i="3"/>
  <c r="K54" i="3"/>
  <c r="S54" i="3" s="1"/>
  <c r="I54" i="3"/>
  <c r="K41" i="3"/>
  <c r="T41" i="3" s="1"/>
  <c r="I41" i="3"/>
  <c r="K33" i="3"/>
  <c r="S33" i="3" s="1"/>
  <c r="I33" i="3"/>
  <c r="K24" i="3"/>
  <c r="T24" i="3" s="1"/>
  <c r="I24" i="3"/>
  <c r="K7" i="3"/>
  <c r="S7" i="3" s="1"/>
  <c r="I7" i="3"/>
  <c r="K68" i="3"/>
  <c r="R68" i="3" s="1"/>
  <c r="I68" i="3"/>
  <c r="K11" i="3"/>
  <c r="T11" i="3" s="1"/>
  <c r="I11" i="3"/>
  <c r="K51" i="3"/>
  <c r="S51" i="3" s="1"/>
  <c r="I51" i="3"/>
  <c r="K113" i="3"/>
  <c r="R113" i="3" s="1"/>
  <c r="I113" i="3"/>
  <c r="K80" i="3"/>
  <c r="T80" i="3" s="1"/>
  <c r="I80" i="3"/>
  <c r="K22" i="3"/>
  <c r="S22" i="3" s="1"/>
  <c r="I22" i="3"/>
  <c r="K13" i="3"/>
  <c r="R13" i="3" s="1"/>
  <c r="I13" i="3"/>
  <c r="K27" i="3"/>
  <c r="T27" i="3" s="1"/>
  <c r="I27" i="3"/>
  <c r="K25" i="3"/>
  <c r="T25" i="3" s="1"/>
  <c r="I25" i="3"/>
  <c r="K32" i="3"/>
  <c r="S32" i="3" s="1"/>
  <c r="I32" i="3"/>
  <c r="K53" i="3"/>
  <c r="S53" i="3" s="1"/>
  <c r="I53" i="3"/>
  <c r="K91" i="3"/>
  <c r="R91" i="3" s="1"/>
  <c r="I91" i="3"/>
  <c r="K39" i="3"/>
  <c r="T39" i="3" s="1"/>
  <c r="I39" i="3"/>
  <c r="K34" i="3"/>
  <c r="S34" i="3" s="1"/>
  <c r="I34" i="3"/>
  <c r="K50" i="3"/>
  <c r="R50" i="3" s="1"/>
  <c r="I50" i="3"/>
  <c r="K112" i="3"/>
  <c r="T112" i="3" s="1"/>
  <c r="I112" i="3"/>
  <c r="K38" i="3"/>
  <c r="S38" i="3" s="1"/>
  <c r="I38" i="3"/>
  <c r="K99" i="3"/>
  <c r="R99" i="3" s="1"/>
  <c r="I99" i="3"/>
  <c r="K5" i="3"/>
  <c r="T5" i="3" s="1"/>
  <c r="I5" i="3"/>
  <c r="K72" i="3"/>
  <c r="T72" i="3" s="1"/>
  <c r="I72" i="3"/>
  <c r="K26" i="3"/>
  <c r="S26" i="3" s="1"/>
  <c r="I26" i="3"/>
  <c r="K97" i="3"/>
  <c r="T97" i="3" s="1"/>
  <c r="I97" i="3"/>
  <c r="K31" i="3"/>
  <c r="T31" i="3" s="1"/>
  <c r="I31" i="3"/>
  <c r="K87" i="3"/>
  <c r="S87" i="3" s="1"/>
  <c r="I87" i="3"/>
  <c r="K81" i="3"/>
  <c r="T81" i="3" s="1"/>
  <c r="I81" i="3"/>
  <c r="K61" i="3"/>
  <c r="T61" i="3" s="1"/>
  <c r="I61" i="3"/>
  <c r="K98" i="3"/>
  <c r="S98" i="3" s="1"/>
  <c r="I98" i="3"/>
  <c r="K15" i="3"/>
  <c r="T15" i="3" s="1"/>
  <c r="I15" i="3"/>
  <c r="K102" i="3"/>
  <c r="S102" i="3" s="1"/>
  <c r="I102" i="3"/>
  <c r="M117" i="3" l="1"/>
  <c r="M137" i="3"/>
  <c r="T125" i="3"/>
  <c r="R127" i="3"/>
  <c r="R126" i="3"/>
  <c r="S127" i="3"/>
  <c r="R125" i="3"/>
  <c r="S126" i="3"/>
  <c r="T124" i="3"/>
  <c r="T123" i="3"/>
  <c r="S123" i="3"/>
  <c r="R124" i="3"/>
  <c r="T29" i="3"/>
  <c r="S153" i="3"/>
  <c r="S77" i="3"/>
  <c r="I139" i="3"/>
  <c r="S94" i="3"/>
  <c r="S136" i="3"/>
  <c r="I138" i="3"/>
  <c r="S79" i="3"/>
  <c r="T77" i="3"/>
  <c r="T71" i="3"/>
  <c r="S62" i="3"/>
  <c r="R5" i="3"/>
  <c r="S104" i="3"/>
  <c r="S95" i="3"/>
  <c r="T62" i="3"/>
  <c r="T51" i="3"/>
  <c r="T94" i="3"/>
  <c r="S71" i="3"/>
  <c r="S29" i="3"/>
  <c r="S47" i="3"/>
  <c r="R136" i="3"/>
  <c r="I157" i="3"/>
  <c r="I156" i="3"/>
  <c r="S5" i="3"/>
  <c r="S92" i="3"/>
  <c r="S45" i="3"/>
  <c r="S161" i="3"/>
  <c r="R39" i="3"/>
  <c r="S39" i="3"/>
  <c r="S65" i="3"/>
  <c r="S81" i="3"/>
  <c r="R47" i="3"/>
  <c r="I118" i="3"/>
  <c r="R151" i="3"/>
  <c r="T150" i="3"/>
  <c r="S151" i="3"/>
  <c r="T161" i="3"/>
  <c r="R154" i="3"/>
  <c r="R153" i="3"/>
  <c r="S154" i="3"/>
  <c r="K155" i="3"/>
  <c r="R150" i="3"/>
  <c r="K137" i="3"/>
  <c r="T134" i="3"/>
  <c r="S134" i="3"/>
  <c r="R134" i="3"/>
  <c r="T135" i="3"/>
  <c r="S135" i="3"/>
  <c r="T133" i="3"/>
  <c r="R133" i="3"/>
  <c r="S14" i="3"/>
  <c r="S75" i="3"/>
  <c r="T98" i="3"/>
  <c r="R24" i="3"/>
  <c r="S114" i="3"/>
  <c r="T20" i="3"/>
  <c r="T87" i="3"/>
  <c r="R97" i="3"/>
  <c r="S69" i="3"/>
  <c r="S59" i="3"/>
  <c r="S44" i="3"/>
  <c r="T6" i="3"/>
  <c r="S76" i="3"/>
  <c r="S21" i="3"/>
  <c r="T102" i="3"/>
  <c r="T54" i="3"/>
  <c r="T69" i="3"/>
  <c r="T59" i="3"/>
  <c r="T44" i="3"/>
  <c r="S42" i="3"/>
  <c r="S85" i="3"/>
  <c r="S78" i="3"/>
  <c r="R14" i="3"/>
  <c r="T43" i="3"/>
  <c r="T73" i="3"/>
  <c r="R102" i="3"/>
  <c r="R81" i="3"/>
  <c r="S3" i="3"/>
  <c r="T92" i="3"/>
  <c r="S73" i="3"/>
  <c r="S90" i="3"/>
  <c r="S40" i="3"/>
  <c r="I119" i="3"/>
  <c r="T26" i="3"/>
  <c r="R53" i="3"/>
  <c r="R11" i="3"/>
  <c r="R89" i="3"/>
  <c r="R8" i="3"/>
  <c r="R57" i="3"/>
  <c r="R66" i="3"/>
  <c r="R30" i="3"/>
  <c r="S86" i="3"/>
  <c r="R34" i="3"/>
  <c r="T53" i="3"/>
  <c r="T32" i="3"/>
  <c r="S27" i="3"/>
  <c r="T22" i="3"/>
  <c r="S11" i="3"/>
  <c r="R7" i="3"/>
  <c r="R54" i="3"/>
  <c r="S89" i="3"/>
  <c r="S8" i="3"/>
  <c r="S17" i="3"/>
  <c r="S57" i="3"/>
  <c r="S64" i="3"/>
  <c r="S66" i="3"/>
  <c r="S74" i="3"/>
  <c r="R6" i="3"/>
  <c r="T83" i="3"/>
  <c r="S28" i="3"/>
  <c r="S49" i="3"/>
  <c r="S30" i="3"/>
  <c r="S82" i="3"/>
  <c r="R84" i="3"/>
  <c r="T86" i="3"/>
  <c r="S35" i="3"/>
  <c r="T38" i="3"/>
  <c r="R27" i="3"/>
  <c r="R17" i="3"/>
  <c r="R64" i="3"/>
  <c r="S83" i="3"/>
  <c r="S19" i="3"/>
  <c r="S55" i="3"/>
  <c r="R15" i="3"/>
  <c r="T34" i="3"/>
  <c r="R51" i="3"/>
  <c r="T7" i="3"/>
  <c r="T33" i="3"/>
  <c r="T4" i="3"/>
  <c r="S56" i="3"/>
  <c r="T28" i="3"/>
  <c r="S43" i="3"/>
  <c r="S84" i="3"/>
  <c r="S20" i="3"/>
  <c r="R96" i="3"/>
  <c r="S96" i="3"/>
  <c r="S52" i="3"/>
  <c r="R52" i="3"/>
  <c r="S70" i="3"/>
  <c r="R70" i="3"/>
  <c r="S105" i="3"/>
  <c r="R105" i="3"/>
  <c r="R36" i="3"/>
  <c r="S36" i="3"/>
  <c r="T99" i="3"/>
  <c r="S50" i="3"/>
  <c r="T13" i="3"/>
  <c r="S113" i="3"/>
  <c r="T10" i="3"/>
  <c r="S37" i="3"/>
  <c r="S108" i="3"/>
  <c r="S67" i="3"/>
  <c r="S58" i="3"/>
  <c r="S110" i="3"/>
  <c r="S107" i="3"/>
  <c r="R61" i="3"/>
  <c r="R31" i="3"/>
  <c r="R72" i="3"/>
  <c r="R112" i="3"/>
  <c r="T50" i="3"/>
  <c r="R25" i="3"/>
  <c r="R80" i="3"/>
  <c r="T113" i="3"/>
  <c r="R41" i="3"/>
  <c r="R18" i="3"/>
  <c r="T12" i="3"/>
  <c r="S12" i="3"/>
  <c r="T9" i="3"/>
  <c r="S9" i="3"/>
  <c r="S63" i="3"/>
  <c r="T63" i="3"/>
  <c r="T23" i="3"/>
  <c r="S23" i="3"/>
  <c r="T111" i="3"/>
  <c r="S111" i="3"/>
  <c r="S109" i="3"/>
  <c r="T109" i="3"/>
  <c r="S100" i="3"/>
  <c r="T100" i="3"/>
  <c r="S116" i="3"/>
  <c r="T116" i="3"/>
  <c r="S106" i="3"/>
  <c r="T106" i="3"/>
  <c r="S60" i="3"/>
  <c r="T60" i="3"/>
  <c r="S93" i="3"/>
  <c r="T93" i="3"/>
  <c r="S101" i="3"/>
  <c r="T101" i="3"/>
  <c r="R98" i="3"/>
  <c r="S61" i="3"/>
  <c r="S31" i="3"/>
  <c r="R26" i="3"/>
  <c r="S72" i="3"/>
  <c r="S112" i="3"/>
  <c r="S91" i="3"/>
  <c r="R32" i="3"/>
  <c r="S25" i="3"/>
  <c r="S80" i="3"/>
  <c r="S68" i="3"/>
  <c r="R33" i="3"/>
  <c r="S41" i="3"/>
  <c r="S18" i="3"/>
  <c r="R12" i="3"/>
  <c r="R9" i="3"/>
  <c r="R63" i="3"/>
  <c r="R23" i="3"/>
  <c r="R111" i="3"/>
  <c r="R109" i="3"/>
  <c r="R100" i="3"/>
  <c r="R116" i="3"/>
  <c r="R106" i="3"/>
  <c r="R60" i="3"/>
  <c r="R93" i="3"/>
  <c r="R101" i="3"/>
  <c r="R87" i="3"/>
  <c r="R38" i="3"/>
  <c r="T91" i="3"/>
  <c r="R22" i="3"/>
  <c r="T68" i="3"/>
  <c r="R4" i="3"/>
  <c r="R42" i="3"/>
  <c r="R79" i="3"/>
  <c r="R21" i="3"/>
  <c r="R104" i="3"/>
  <c r="R85" i="3"/>
  <c r="R65" i="3"/>
  <c r="R78" i="3"/>
  <c r="R19" i="3"/>
  <c r="R49" i="3"/>
  <c r="R45" i="3"/>
  <c r="R114" i="3"/>
  <c r="R90" i="3"/>
  <c r="R75" i="3"/>
  <c r="R35" i="3"/>
  <c r="K117" i="3"/>
  <c r="R48" i="3"/>
  <c r="S48" i="3"/>
  <c r="S88" i="3"/>
  <c r="R88" i="3"/>
  <c r="R115" i="3"/>
  <c r="S115" i="3"/>
  <c r="R103" i="3"/>
  <c r="S103" i="3"/>
  <c r="R16" i="3"/>
  <c r="S16" i="3"/>
  <c r="R46" i="3"/>
  <c r="S46" i="3"/>
  <c r="S15" i="3"/>
  <c r="S97" i="3"/>
  <c r="S99" i="3"/>
  <c r="S13" i="3"/>
  <c r="S24" i="3"/>
  <c r="S10" i="3"/>
  <c r="R37" i="3"/>
  <c r="T96" i="3"/>
  <c r="R108" i="3"/>
  <c r="T52" i="3"/>
  <c r="R67" i="3"/>
  <c r="T70" i="3"/>
  <c r="R58" i="3"/>
  <c r="T105" i="3"/>
  <c r="R110" i="3"/>
  <c r="T36" i="3"/>
  <c r="R107" i="3"/>
  <c r="T48" i="3"/>
  <c r="R74" i="3"/>
  <c r="T88" i="3"/>
  <c r="R56" i="3"/>
  <c r="T115" i="3"/>
  <c r="R3" i="3"/>
  <c r="R95" i="3"/>
  <c r="T103" i="3"/>
  <c r="R55" i="3"/>
  <c r="T16" i="3"/>
  <c r="R82" i="3"/>
  <c r="T46" i="3"/>
  <c r="R76" i="3"/>
  <c r="R40" i="3"/>
  <c r="I84" i="2"/>
  <c r="K84" i="2"/>
  <c r="R84" i="2" s="1"/>
  <c r="I116" i="2"/>
  <c r="K116" i="2"/>
  <c r="Q116" i="2" s="1"/>
  <c r="R116" i="2"/>
  <c r="I14" i="2"/>
  <c r="K14" i="2"/>
  <c r="R14" i="2" s="1"/>
  <c r="Q14" i="2"/>
  <c r="I112" i="2"/>
  <c r="K112" i="2"/>
  <c r="S112" i="2" s="1"/>
  <c r="I69" i="2"/>
  <c r="K69" i="2"/>
  <c r="Q69" i="2" s="1"/>
  <c r="I93" i="2"/>
  <c r="K93" i="2"/>
  <c r="S93" i="2" s="1"/>
  <c r="I16" i="2"/>
  <c r="K16" i="2"/>
  <c r="Q16" i="2" s="1"/>
  <c r="I101" i="2"/>
  <c r="K101" i="2"/>
  <c r="S101" i="2" s="1"/>
  <c r="I35" i="2"/>
  <c r="K35" i="2"/>
  <c r="Q35" i="2" s="1"/>
  <c r="I95" i="2"/>
  <c r="K95" i="2"/>
  <c r="I24" i="2"/>
  <c r="K24" i="2"/>
  <c r="Q24" i="2" s="1"/>
  <c r="I28" i="2"/>
  <c r="K28" i="2"/>
  <c r="S28" i="2" s="1"/>
  <c r="I73" i="2"/>
  <c r="K73" i="2"/>
  <c r="S73" i="2" s="1"/>
  <c r="I54" i="2"/>
  <c r="K54" i="2"/>
  <c r="S54" i="2" s="1"/>
  <c r="Q54" i="2"/>
  <c r="I111" i="2"/>
  <c r="K111" i="2"/>
  <c r="Q111" i="2" s="1"/>
  <c r="I29" i="2"/>
  <c r="K29" i="2"/>
  <c r="S29" i="2" s="1"/>
  <c r="I81" i="2"/>
  <c r="K81" i="2"/>
  <c r="Q81" i="2" s="1"/>
  <c r="I4" i="2"/>
  <c r="K4" i="2"/>
  <c r="S4" i="2" s="1"/>
  <c r="I113" i="2"/>
  <c r="K113" i="2"/>
  <c r="R113" i="2" s="1"/>
  <c r="I43" i="2"/>
  <c r="K43" i="2"/>
  <c r="R43" i="2" s="1"/>
  <c r="I126" i="2"/>
  <c r="K126" i="2"/>
  <c r="R126" i="2" s="1"/>
  <c r="I58" i="2"/>
  <c r="K58" i="2"/>
  <c r="S58" i="2" s="1"/>
  <c r="I39" i="2"/>
  <c r="K39" i="2"/>
  <c r="Q39" i="2" s="1"/>
  <c r="I44" i="2"/>
  <c r="K44" i="2"/>
  <c r="S44" i="2" s="1"/>
  <c r="I105" i="2"/>
  <c r="K105" i="2"/>
  <c r="Q105" i="2" s="1"/>
  <c r="I61" i="2"/>
  <c r="K61" i="2"/>
  <c r="Q61" i="2" s="1"/>
  <c r="I97" i="2"/>
  <c r="K97" i="2"/>
  <c r="Q97" i="2" s="1"/>
  <c r="I36" i="2"/>
  <c r="K36" i="2"/>
  <c r="S36" i="2" s="1"/>
  <c r="I27" i="2"/>
  <c r="K27" i="2"/>
  <c r="I30" i="2"/>
  <c r="K30" i="2"/>
  <c r="S30" i="2" s="1"/>
  <c r="I12" i="2"/>
  <c r="K12" i="2"/>
  <c r="S12" i="2" s="1"/>
  <c r="Q12" i="2"/>
  <c r="I23" i="2"/>
  <c r="K23" i="2"/>
  <c r="R23" i="2" s="1"/>
  <c r="I92" i="2"/>
  <c r="K92" i="2"/>
  <c r="R92" i="2" s="1"/>
  <c r="I127" i="2"/>
  <c r="K127" i="2"/>
  <c r="S127" i="2" s="1"/>
  <c r="I59" i="2"/>
  <c r="K59" i="2"/>
  <c r="Q59" i="2"/>
  <c r="I10" i="2"/>
  <c r="K10" i="2"/>
  <c r="S10" i="2" s="1"/>
  <c r="I77" i="2"/>
  <c r="K77" i="2"/>
  <c r="R77" i="2" s="1"/>
  <c r="I6" i="2"/>
  <c r="K6" i="2"/>
  <c r="Q6" i="2" s="1"/>
  <c r="I26" i="2"/>
  <c r="K26" i="2"/>
  <c r="R26" i="2" s="1"/>
  <c r="I38" i="2"/>
  <c r="K38" i="2"/>
  <c r="S38" i="2" s="1"/>
  <c r="I46" i="2"/>
  <c r="K46" i="2"/>
  <c r="Q46" i="2" s="1"/>
  <c r="I62" i="2"/>
  <c r="K62" i="2"/>
  <c r="S62" i="2" s="1"/>
  <c r="I9" i="2"/>
  <c r="K9" i="2"/>
  <c r="Q9" i="2" s="1"/>
  <c r="I3" i="2"/>
  <c r="K3" i="2"/>
  <c r="R3" i="2" s="1"/>
  <c r="Q3" i="2"/>
  <c r="I19" i="2"/>
  <c r="K19" i="2"/>
  <c r="S19" i="2" s="1"/>
  <c r="I42" i="2"/>
  <c r="K42" i="2"/>
  <c r="I48" i="2"/>
  <c r="K48" i="2"/>
  <c r="I103" i="2"/>
  <c r="K103" i="2"/>
  <c r="S103" i="2" s="1"/>
  <c r="I108" i="2"/>
  <c r="K108" i="2"/>
  <c r="S108" i="2" s="1"/>
  <c r="I110" i="2"/>
  <c r="K110" i="2"/>
  <c r="S110" i="2" s="1"/>
  <c r="I11" i="2"/>
  <c r="K11" i="2"/>
  <c r="Q11" i="2" s="1"/>
  <c r="I122" i="2"/>
  <c r="K122" i="2"/>
  <c r="S122" i="2" s="1"/>
  <c r="I90" i="2"/>
  <c r="K90" i="2"/>
  <c r="Q90" i="2" s="1"/>
  <c r="I7" i="2"/>
  <c r="K7" i="2"/>
  <c r="S7" i="2" s="1"/>
  <c r="Q7" i="2"/>
  <c r="I78" i="2"/>
  <c r="K78" i="2"/>
  <c r="R78" i="2" s="1"/>
  <c r="I60" i="2"/>
  <c r="K60" i="2"/>
  <c r="Q60" i="2" s="1"/>
  <c r="S60" i="2"/>
  <c r="I8" i="2"/>
  <c r="K8" i="2"/>
  <c r="S8" i="2" s="1"/>
  <c r="Q8" i="2"/>
  <c r="R8" i="2"/>
  <c r="I76" i="2"/>
  <c r="K76" i="2"/>
  <c r="S76" i="2" s="1"/>
  <c r="I22" i="2"/>
  <c r="K22" i="2"/>
  <c r="Q22" i="2" s="1"/>
  <c r="I18" i="2"/>
  <c r="K18" i="2"/>
  <c r="S18" i="2" s="1"/>
  <c r="I79" i="2"/>
  <c r="K79" i="2"/>
  <c r="R79" i="2" s="1"/>
  <c r="I71" i="2"/>
  <c r="K71" i="2"/>
  <c r="Q71" i="2" s="1"/>
  <c r="S71" i="2"/>
  <c r="I66" i="2"/>
  <c r="K66" i="2"/>
  <c r="Q66" i="2" s="1"/>
  <c r="I118" i="2"/>
  <c r="K118" i="2"/>
  <c r="R118" i="2" s="1"/>
  <c r="I65" i="2"/>
  <c r="K65" i="2"/>
  <c r="S65" i="2" s="1"/>
  <c r="I67" i="2"/>
  <c r="K67" i="2"/>
  <c r="Q67" i="2" s="1"/>
  <c r="I119" i="2"/>
  <c r="K119" i="2"/>
  <c r="R119" i="2" s="1"/>
  <c r="I134" i="2"/>
  <c r="K134" i="2"/>
  <c r="Q134" i="2" s="1"/>
  <c r="I124" i="2"/>
  <c r="K124" i="2"/>
  <c r="Q124" i="2" s="1"/>
  <c r="I99" i="2"/>
  <c r="K99" i="2"/>
  <c r="R99" i="2" s="1"/>
  <c r="I72" i="2"/>
  <c r="K72" i="2"/>
  <c r="S72" i="2" s="1"/>
  <c r="I80" i="2"/>
  <c r="K80" i="2"/>
  <c r="Q80" i="2" s="1"/>
  <c r="I41" i="2"/>
  <c r="K41" i="2"/>
  <c r="R41" i="2" s="1"/>
  <c r="I25" i="2"/>
  <c r="K25" i="2"/>
  <c r="Q25" i="2" s="1"/>
  <c r="I121" i="2"/>
  <c r="K121" i="2"/>
  <c r="Q121" i="2" s="1"/>
  <c r="I74" i="2"/>
  <c r="K74" i="2"/>
  <c r="R74" i="2" s="1"/>
  <c r="Q74" i="2"/>
  <c r="I75" i="2"/>
  <c r="K75" i="2"/>
  <c r="S75" i="2" s="1"/>
  <c r="I50" i="2"/>
  <c r="K50" i="2"/>
  <c r="Q50" i="2" s="1"/>
  <c r="I55" i="2"/>
  <c r="K55" i="2"/>
  <c r="R55" i="2" s="1"/>
  <c r="I125" i="2"/>
  <c r="K125" i="2"/>
  <c r="Q125" i="2"/>
  <c r="R125" i="2"/>
  <c r="S125" i="2"/>
  <c r="I85" i="2"/>
  <c r="K85" i="2"/>
  <c r="Q85" i="2" s="1"/>
  <c r="I133" i="2"/>
  <c r="K133" i="2"/>
  <c r="R133" i="2" s="1"/>
  <c r="I5" i="2"/>
  <c r="K5" i="2"/>
  <c r="S5" i="2" s="1"/>
  <c r="I96" i="2"/>
  <c r="K96" i="2"/>
  <c r="Q96" i="2" s="1"/>
  <c r="I102" i="2"/>
  <c r="K102" i="2"/>
  <c r="R102" i="2" s="1"/>
  <c r="I123" i="2"/>
  <c r="K123" i="2"/>
  <c r="S123" i="2" s="1"/>
  <c r="Q123" i="2"/>
  <c r="I64" i="2"/>
  <c r="K64" i="2"/>
  <c r="Q64" i="2" s="1"/>
  <c r="I89" i="2"/>
  <c r="K89" i="2"/>
  <c r="R89" i="2" s="1"/>
  <c r="I13" i="2"/>
  <c r="K13" i="2"/>
  <c r="S13" i="2" s="1"/>
  <c r="I31" i="2"/>
  <c r="K31" i="2"/>
  <c r="Q31" i="2" s="1"/>
  <c r="I15" i="2"/>
  <c r="K15" i="2"/>
  <c r="R15" i="2" s="1"/>
  <c r="S15" i="2"/>
  <c r="I114" i="2"/>
  <c r="K114" i="2"/>
  <c r="R114" i="2" s="1"/>
  <c r="I132" i="2"/>
  <c r="K132" i="2"/>
  <c r="Q132" i="2" s="1"/>
  <c r="I20" i="2"/>
  <c r="K20" i="2"/>
  <c r="R20" i="2" s="1"/>
  <c r="Q20" i="2"/>
  <c r="I33" i="2"/>
  <c r="K33" i="2"/>
  <c r="S33" i="2" s="1"/>
  <c r="I49" i="2"/>
  <c r="K49" i="2"/>
  <c r="Q49" i="2" s="1"/>
  <c r="I129" i="2"/>
  <c r="K129" i="2"/>
  <c r="R129" i="2" s="1"/>
  <c r="I131" i="2"/>
  <c r="K131" i="2"/>
  <c r="Q131" i="2" s="1"/>
  <c r="S131" i="2"/>
  <c r="I2" i="2"/>
  <c r="K2" i="2"/>
  <c r="Q2" i="2" s="1"/>
  <c r="I57" i="2"/>
  <c r="K57" i="2"/>
  <c r="R57" i="2" s="1"/>
  <c r="I106" i="2"/>
  <c r="K106" i="2"/>
  <c r="Q106" i="2" s="1"/>
  <c r="I109" i="2"/>
  <c r="K109" i="2"/>
  <c r="Q109" i="2" s="1"/>
  <c r="I51" i="2"/>
  <c r="K51" i="2"/>
  <c r="R51" i="2" s="1"/>
  <c r="I53" i="2"/>
  <c r="K53" i="2"/>
  <c r="S53" i="2" s="1"/>
  <c r="I83" i="2"/>
  <c r="K83" i="2"/>
  <c r="Q83" i="2" s="1"/>
  <c r="S83" i="2"/>
  <c r="I117" i="2"/>
  <c r="K117" i="2"/>
  <c r="R117" i="2" s="1"/>
  <c r="I120" i="2"/>
  <c r="K120" i="2"/>
  <c r="Q120" i="2" s="1"/>
  <c r="I63" i="2"/>
  <c r="K63" i="2"/>
  <c r="Q63" i="2" s="1"/>
  <c r="I128" i="2"/>
  <c r="K128" i="2"/>
  <c r="R128" i="2" s="1"/>
  <c r="S128" i="2"/>
  <c r="I34" i="2"/>
  <c r="K34" i="2"/>
  <c r="S34" i="2" s="1"/>
  <c r="I88" i="2"/>
  <c r="K88" i="2"/>
  <c r="Q88" i="2" s="1"/>
  <c r="I17" i="2"/>
  <c r="K17" i="2"/>
  <c r="R17" i="2" s="1"/>
  <c r="I68" i="2"/>
  <c r="K68" i="2"/>
  <c r="Q68" i="2" s="1"/>
  <c r="I94" i="2"/>
  <c r="K94" i="2"/>
  <c r="Q94" i="2" s="1"/>
  <c r="S94" i="2"/>
  <c r="I104" i="2"/>
  <c r="K104" i="2"/>
  <c r="R104" i="2" s="1"/>
  <c r="I98" i="2"/>
  <c r="K98" i="2"/>
  <c r="S98" i="2" s="1"/>
  <c r="I100" i="2"/>
  <c r="K100" i="2"/>
  <c r="Q100" i="2" s="1"/>
  <c r="I52" i="2"/>
  <c r="K52" i="2"/>
  <c r="R52" i="2" s="1"/>
  <c r="I107" i="2"/>
  <c r="K107" i="2"/>
  <c r="S107" i="2" s="1"/>
  <c r="Q107" i="2"/>
  <c r="I87" i="2"/>
  <c r="K87" i="2"/>
  <c r="Q87" i="2" s="1"/>
  <c r="I86" i="2"/>
  <c r="K86" i="2"/>
  <c r="R86" i="2" s="1"/>
  <c r="I32" i="2"/>
  <c r="K32" i="2"/>
  <c r="S32" i="2" s="1"/>
  <c r="I130" i="2"/>
  <c r="K130" i="2"/>
  <c r="Q130" i="2" s="1"/>
  <c r="I37" i="2"/>
  <c r="K37" i="2"/>
  <c r="R37" i="2" s="1"/>
  <c r="I82" i="2"/>
  <c r="K82" i="2"/>
  <c r="R82" i="2" s="1"/>
  <c r="I91" i="2"/>
  <c r="K91" i="2"/>
  <c r="Q91" i="2" s="1"/>
  <c r="I56" i="2"/>
  <c r="K56" i="2"/>
  <c r="R56" i="2" s="1"/>
  <c r="I47" i="2"/>
  <c r="K47" i="2"/>
  <c r="S47" i="2" s="1"/>
  <c r="I21" i="2"/>
  <c r="K21" i="2"/>
  <c r="Q21" i="2" s="1"/>
  <c r="I115" i="2"/>
  <c r="K115" i="2"/>
  <c r="Q115" i="2" s="1"/>
  <c r="I45" i="2"/>
  <c r="K45" i="2"/>
  <c r="Q45" i="2" s="1"/>
  <c r="I40" i="2"/>
  <c r="K40" i="2"/>
  <c r="R40" i="2" s="1"/>
  <c r="I70" i="2"/>
  <c r="K70" i="2"/>
  <c r="S70" i="2" s="1"/>
  <c r="D135" i="2"/>
  <c r="G135" i="2"/>
  <c r="H135" i="2"/>
  <c r="J135" i="2"/>
  <c r="L135" i="2"/>
  <c r="M135" i="2"/>
  <c r="O135" i="2"/>
  <c r="P135" i="2"/>
  <c r="R19" i="2" l="1"/>
  <c r="Q98" i="2"/>
  <c r="R25" i="2"/>
  <c r="Q19" i="2"/>
  <c r="R61" i="2"/>
  <c r="R35" i="2"/>
  <c r="R100" i="2"/>
  <c r="S104" i="2"/>
  <c r="S68" i="2"/>
  <c r="S57" i="2"/>
  <c r="S132" i="2"/>
  <c r="S97" i="2"/>
  <c r="I136" i="2"/>
  <c r="S40" i="2"/>
  <c r="S120" i="2"/>
  <c r="S20" i="2"/>
  <c r="S3" i="2"/>
  <c r="Q10" i="2"/>
  <c r="Q126" i="2"/>
  <c r="R73" i="2"/>
  <c r="Q101" i="2"/>
  <c r="S17" i="2"/>
  <c r="R96" i="2"/>
  <c r="S133" i="2"/>
  <c r="S74" i="2"/>
  <c r="S25" i="2"/>
  <c r="S80" i="2"/>
  <c r="S118" i="2"/>
  <c r="R11" i="2"/>
  <c r="R108" i="2"/>
  <c r="R6" i="2"/>
  <c r="Q23" i="2"/>
  <c r="R111" i="2"/>
  <c r="S14" i="2"/>
  <c r="S21" i="2"/>
  <c r="S37" i="2"/>
  <c r="R68" i="2"/>
  <c r="Q128" i="2"/>
  <c r="R120" i="2"/>
  <c r="Q15" i="2"/>
  <c r="S115" i="2"/>
  <c r="S91" i="2"/>
  <c r="Q37" i="2"/>
  <c r="Q5" i="2"/>
  <c r="S85" i="2"/>
  <c r="R134" i="2"/>
  <c r="Q110" i="2"/>
  <c r="R12" i="2"/>
  <c r="S126" i="2"/>
  <c r="R54" i="2"/>
  <c r="S23" i="2"/>
  <c r="S55" i="2"/>
  <c r="S6" i="2"/>
  <c r="S111" i="2"/>
  <c r="Q47" i="2"/>
  <c r="Q82" i="2"/>
  <c r="Q86" i="2"/>
  <c r="R107" i="2"/>
  <c r="S100" i="2"/>
  <c r="Q51" i="2"/>
  <c r="Q33" i="2"/>
  <c r="Q114" i="2"/>
  <c r="Q89" i="2"/>
  <c r="R123" i="2"/>
  <c r="S96" i="2"/>
  <c r="Q99" i="2"/>
  <c r="S134" i="2"/>
  <c r="Q119" i="2"/>
  <c r="Q18" i="2"/>
  <c r="S11" i="2"/>
  <c r="R110" i="2"/>
  <c r="Q26" i="2"/>
  <c r="R10" i="2"/>
  <c r="Q92" i="2"/>
  <c r="S61" i="2"/>
  <c r="R105" i="2"/>
  <c r="Q43" i="2"/>
  <c r="Q4" i="2"/>
  <c r="S35" i="2"/>
  <c r="R101" i="2"/>
  <c r="S116" i="2"/>
  <c r="Q84" i="2"/>
  <c r="Q40" i="2"/>
  <c r="R115" i="2"/>
  <c r="Q104" i="2"/>
  <c r="Q17" i="2"/>
  <c r="Q53" i="2"/>
  <c r="Q57" i="2"/>
  <c r="R131" i="2"/>
  <c r="S49" i="2"/>
  <c r="Q133" i="2"/>
  <c r="Q55" i="2"/>
  <c r="Q72" i="2"/>
  <c r="Q118" i="2"/>
  <c r="R71" i="2"/>
  <c r="R60" i="2"/>
  <c r="R7" i="2"/>
  <c r="R103" i="2"/>
  <c r="S77" i="2"/>
  <c r="R97" i="2"/>
  <c r="Q73" i="2"/>
  <c r="R21" i="2"/>
  <c r="S56" i="2"/>
  <c r="S109" i="2"/>
  <c r="R49" i="2"/>
  <c r="S124" i="2"/>
  <c r="Q77" i="2"/>
  <c r="Q44" i="2"/>
  <c r="Q56" i="2"/>
  <c r="S82" i="2"/>
  <c r="S114" i="2"/>
  <c r="S26" i="2"/>
  <c r="S92" i="2"/>
  <c r="S43" i="2"/>
  <c r="S86" i="2"/>
  <c r="R83" i="2"/>
  <c r="S51" i="2"/>
  <c r="S89" i="2"/>
  <c r="R80" i="2"/>
  <c r="S99" i="2"/>
  <c r="S119" i="2"/>
  <c r="Q108" i="2"/>
  <c r="S105" i="2"/>
  <c r="R4" i="2"/>
  <c r="I137" i="2"/>
  <c r="R28" i="2"/>
  <c r="S84" i="2"/>
  <c r="T157" i="3"/>
  <c r="Q157" i="3"/>
  <c r="N157" i="3"/>
  <c r="T139" i="3"/>
  <c r="Q139" i="3"/>
  <c r="N139" i="3"/>
  <c r="T119" i="3"/>
  <c r="Q119" i="3"/>
  <c r="N119" i="3"/>
  <c r="R48" i="2"/>
  <c r="S48" i="2"/>
  <c r="S52" i="2"/>
  <c r="K135" i="2"/>
  <c r="Q70" i="2"/>
  <c r="S130" i="2"/>
  <c r="Q32" i="2"/>
  <c r="Q52" i="2"/>
  <c r="S88" i="2"/>
  <c r="Q34" i="2"/>
  <c r="Q117" i="2"/>
  <c r="S106" i="2"/>
  <c r="Q129" i="2"/>
  <c r="S31" i="2"/>
  <c r="Q13" i="2"/>
  <c r="Q102" i="2"/>
  <c r="S50" i="2"/>
  <c r="Q75" i="2"/>
  <c r="Q41" i="2"/>
  <c r="S67" i="2"/>
  <c r="Q65" i="2"/>
  <c r="Q79" i="2"/>
  <c r="Q78" i="2"/>
  <c r="R42" i="2"/>
  <c r="Q42" i="2"/>
  <c r="S9" i="2"/>
  <c r="Q62" i="2"/>
  <c r="R27" i="2"/>
  <c r="S27" i="2"/>
  <c r="Q113" i="2"/>
  <c r="Q95" i="2"/>
  <c r="R95" i="2"/>
  <c r="S16" i="2"/>
  <c r="Q93" i="2"/>
  <c r="S45" i="2"/>
  <c r="R130" i="2"/>
  <c r="S87" i="2"/>
  <c r="R88" i="2"/>
  <c r="S63" i="2"/>
  <c r="R106" i="2"/>
  <c r="S2" i="2"/>
  <c r="R31" i="2"/>
  <c r="S64" i="2"/>
  <c r="R50" i="2"/>
  <c r="S121" i="2"/>
  <c r="R67" i="2"/>
  <c r="S66" i="2"/>
  <c r="R22" i="2"/>
  <c r="S22" i="2"/>
  <c r="R9" i="2"/>
  <c r="Q38" i="2"/>
  <c r="R38" i="2"/>
  <c r="R30" i="2"/>
  <c r="R39" i="2"/>
  <c r="S39" i="2"/>
  <c r="R16" i="2"/>
  <c r="Q112" i="2"/>
  <c r="R112" i="2"/>
  <c r="R45" i="2"/>
  <c r="R47" i="2"/>
  <c r="R87" i="2"/>
  <c r="R98" i="2"/>
  <c r="R63" i="2"/>
  <c r="R53" i="2"/>
  <c r="R2" i="2"/>
  <c r="R33" i="2"/>
  <c r="R64" i="2"/>
  <c r="R5" i="2"/>
  <c r="R121" i="2"/>
  <c r="R72" i="2"/>
  <c r="R66" i="2"/>
  <c r="R18" i="2"/>
  <c r="R90" i="2"/>
  <c r="S90" i="2"/>
  <c r="Q48" i="2"/>
  <c r="Q127" i="2"/>
  <c r="R127" i="2"/>
  <c r="Q30" i="2"/>
  <c r="R44" i="2"/>
  <c r="S81" i="2"/>
  <c r="R81" i="2"/>
  <c r="Q36" i="2"/>
  <c r="R36" i="2"/>
  <c r="R24" i="2"/>
  <c r="S24" i="2"/>
  <c r="S117" i="2"/>
  <c r="S129" i="2"/>
  <c r="S102" i="2"/>
  <c r="S41" i="2"/>
  <c r="S79" i="2"/>
  <c r="R76" i="2"/>
  <c r="Q76" i="2"/>
  <c r="S78" i="2"/>
  <c r="S46" i="2"/>
  <c r="R46" i="2"/>
  <c r="R58" i="2"/>
  <c r="Q58" i="2"/>
  <c r="S113" i="2"/>
  <c r="R69" i="2"/>
  <c r="S69" i="2"/>
  <c r="R70" i="2"/>
  <c r="R91" i="2"/>
  <c r="R32" i="2"/>
  <c r="R94" i="2"/>
  <c r="R34" i="2"/>
  <c r="R109" i="2"/>
  <c r="R132" i="2"/>
  <c r="R13" i="2"/>
  <c r="R85" i="2"/>
  <c r="R75" i="2"/>
  <c r="R124" i="2"/>
  <c r="R65" i="2"/>
  <c r="Q122" i="2"/>
  <c r="R122" i="2"/>
  <c r="Q103" i="2"/>
  <c r="S42" i="2"/>
  <c r="R62" i="2"/>
  <c r="R59" i="2"/>
  <c r="S59" i="2"/>
  <c r="Q27" i="2"/>
  <c r="Q29" i="2"/>
  <c r="R29" i="2"/>
  <c r="Q28" i="2"/>
  <c r="S95" i="2"/>
  <c r="R93" i="2"/>
  <c r="M137" i="2" l="1"/>
  <c r="P137" i="2"/>
  <c r="S137" i="2"/>
</calcChain>
</file>

<file path=xl/sharedStrings.xml><?xml version="1.0" encoding="utf-8"?>
<sst xmlns="http://schemas.openxmlformats.org/spreadsheetml/2006/main" count="2389" uniqueCount="374">
  <si>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</si>
  <si>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</si>
  <si>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</si>
  <si>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</si>
  <si>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</si>
  <si>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</si>
  <si>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</si>
  <si>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</si>
  <si>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</si>
  <si>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</si>
  <si>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</si>
  <si>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</si>
  <si>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</si>
  <si>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</si>
  <si>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</si>
  <si>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</si>
  <si>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</si>
  <si>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</si>
  <si>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</si>
  <si>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</si>
  <si>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</si>
  <si>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</si>
  <si>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</si>
  <si>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</si>
  <si>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</si>
  <si>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</si>
  <si>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</si>
  <si>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</si>
  <si>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</si>
  <si>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</si>
  <si>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</si>
  <si>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</si>
  <si>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</si>
  <si>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</si>
  <si>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</si>
  <si>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</si>
  <si>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</si>
  <si>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</si>
  <si>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</si>
  <si>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</si>
  <si>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</si>
  <si>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</si>
  <si>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</si>
  <si>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</si>
  <si>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50 004 02 0012 303</t>
  </si>
  <si>
    <t>10992 W JEFFERSON</t>
  </si>
  <si>
    <t>PTA</t>
  </si>
  <si>
    <t>03-ARM'S LENGTH</t>
  </si>
  <si>
    <t>GAR</t>
  </si>
  <si>
    <t>COMMERCIAL</t>
  </si>
  <si>
    <t>NOT INSPECTED</t>
  </si>
  <si>
    <t>GAR SERVICE</t>
  </si>
  <si>
    <t>201</t>
  </si>
  <si>
    <t>50 004 03 0036 000</t>
  </si>
  <si>
    <t>204 SUMMIT</t>
  </si>
  <si>
    <t>00010</t>
  </si>
  <si>
    <t>RESIDENTIAL</t>
  </si>
  <si>
    <t>401</t>
  </si>
  <si>
    <t>STANDARD RATE</t>
  </si>
  <si>
    <t>50 004 03 0050 000</t>
  </si>
  <si>
    <t>195 FAIRMONT</t>
  </si>
  <si>
    <t>WD</t>
  </si>
  <si>
    <t>50 004 04 0010 000</t>
  </si>
  <si>
    <t>16 ELIZABETH</t>
  </si>
  <si>
    <t>19-MULTI PARCEL ARM'S LENGTH</t>
  </si>
  <si>
    <t>50 004 04 0012 000</t>
  </si>
  <si>
    <t>50 004 04 0021 301</t>
  </si>
  <si>
    <t>38 ELIZABETH</t>
  </si>
  <si>
    <t>50 004 08 0087 300</t>
  </si>
  <si>
    <t>55 CORA</t>
  </si>
  <si>
    <t>50 004 08 0135 000</t>
  </si>
  <si>
    <t>11192 W JEFFERSON</t>
  </si>
  <si>
    <t>REST</t>
  </si>
  <si>
    <t>REST FAST</t>
  </si>
  <si>
    <t>50 004 09 0014 000</t>
  </si>
  <si>
    <t>312 BURKE</t>
  </si>
  <si>
    <t>50 004 10 0039 000</t>
  </si>
  <si>
    <t>145 HALTINER</t>
  </si>
  <si>
    <t>50 004 14 0019 000</t>
  </si>
  <si>
    <t>90 CATHERINE</t>
  </si>
  <si>
    <t>50430</t>
  </si>
  <si>
    <t>RESIDENTIAL NORTHEAST</t>
  </si>
  <si>
    <t>RESID.N. EAST</t>
  </si>
  <si>
    <t>50 004 14 0031 000</t>
  </si>
  <si>
    <t>97 ABBOTT</t>
  </si>
  <si>
    <t>OTH</t>
  </si>
  <si>
    <t>50 004 14 0046 000</t>
  </si>
  <si>
    <t>94 ABBOTT</t>
  </si>
  <si>
    <t>09-FAMILY</t>
  </si>
  <si>
    <t>50 004 14 0094 000</t>
  </si>
  <si>
    <t>60 STONER</t>
  </si>
  <si>
    <t>50 004 14 0125 000</t>
  </si>
  <si>
    <t>70 HILL</t>
  </si>
  <si>
    <t>50 004 14 0144 000</t>
  </si>
  <si>
    <t>67 FOREST</t>
  </si>
  <si>
    <t>50 004 14 0155 000</t>
  </si>
  <si>
    <t>82 FOREST</t>
  </si>
  <si>
    <t>50 004 15 0022 000</t>
  </si>
  <si>
    <t>24 ALEXANDER</t>
  </si>
  <si>
    <t>50 004 15 0058 000</t>
  </si>
  <si>
    <t>375 GENESEE</t>
  </si>
  <si>
    <t>50 004 15 0067 000</t>
  </si>
  <si>
    <t>12 PERRIN</t>
  </si>
  <si>
    <t>50 004 15 0086 000</t>
  </si>
  <si>
    <t>37 PERRIN</t>
  </si>
  <si>
    <t>50 004 16 0010 000</t>
  </si>
  <si>
    <t>41 STONER</t>
  </si>
  <si>
    <t>50 004 16 0017 000</t>
  </si>
  <si>
    <t>55 STONER</t>
  </si>
  <si>
    <t>50 004 17 0099 000</t>
  </si>
  <si>
    <t>41 HILL</t>
  </si>
  <si>
    <t>50 004 18 0013 000</t>
  </si>
  <si>
    <t>23 ORCHARD</t>
  </si>
  <si>
    <t>50 004 18 0020 000</t>
  </si>
  <si>
    <t>37 ORCHARD</t>
  </si>
  <si>
    <t>50 004 21 0027 304</t>
  </si>
  <si>
    <t>11283 W JEFFERSON</t>
  </si>
  <si>
    <t>MISC</t>
  </si>
  <si>
    <t>50 004 21 0029 304</t>
  </si>
  <si>
    <t>LAUNDROMAT</t>
  </si>
  <si>
    <t>50 004 21 0043 001</t>
  </si>
  <si>
    <t>432 GENESEE</t>
  </si>
  <si>
    <t>50 004 25 0039 001</t>
  </si>
  <si>
    <t>27 ELIZABETH</t>
  </si>
  <si>
    <t>50 004 25 0048 002</t>
  </si>
  <si>
    <t>16 LEBLANC</t>
  </si>
  <si>
    <t>50 005 01 0032 300</t>
  </si>
  <si>
    <t>173 BURKE</t>
  </si>
  <si>
    <t>50 005 02 0017 000</t>
  </si>
  <si>
    <t>64 E HENRY</t>
  </si>
  <si>
    <t>50 005 03 0062 000</t>
  </si>
  <si>
    <t>41 MAPLE</t>
  </si>
  <si>
    <t>50 005 03 0063 002</t>
  </si>
  <si>
    <t>50 005 03 0078 000</t>
  </si>
  <si>
    <t>63 PINE</t>
  </si>
  <si>
    <t>21-NOT USED/OTHER</t>
  </si>
  <si>
    <t>50 005 06 0014 000</t>
  </si>
  <si>
    <t>176 RICHTER</t>
  </si>
  <si>
    <t>50 005 06 0022 000</t>
  </si>
  <si>
    <t>194 RICHTER</t>
  </si>
  <si>
    <t>50 005 06 0032 000</t>
  </si>
  <si>
    <t>212 RICHTER</t>
  </si>
  <si>
    <t>50 005 06 0083 000</t>
  </si>
  <si>
    <t>314 RICHTER</t>
  </si>
  <si>
    <t>50 005 06 0099 301</t>
  </si>
  <si>
    <t>333 RICHTER</t>
  </si>
  <si>
    <t>50 005 06 0106 301</t>
  </si>
  <si>
    <t>327 RICHTER</t>
  </si>
  <si>
    <t>50 005 06 0105 000</t>
  </si>
  <si>
    <t>50 005 06 0107 302</t>
  </si>
  <si>
    <t>323 RICHTER</t>
  </si>
  <si>
    <t>50 005 06 0115 000</t>
  </si>
  <si>
    <t>309 RICHTER</t>
  </si>
  <si>
    <t>50 005 06 0166 000</t>
  </si>
  <si>
    <t>207 RICHTER</t>
  </si>
  <si>
    <t>50 005 06 0176 000</t>
  </si>
  <si>
    <t>187 RICHTER</t>
  </si>
  <si>
    <t>50 005 06 0196 000</t>
  </si>
  <si>
    <t>152 GOODELL</t>
  </si>
  <si>
    <t>50 005 06 0195 000</t>
  </si>
  <si>
    <t>50 005 06 0212 002</t>
  </si>
  <si>
    <t>186 GOODELL</t>
  </si>
  <si>
    <t>50 005 06 0288 000</t>
  </si>
  <si>
    <t>336 GOODELL</t>
  </si>
  <si>
    <t>50 005 06 0367 000</t>
  </si>
  <si>
    <t>195 GOODELL</t>
  </si>
  <si>
    <t>50 005 06 0381 000</t>
  </si>
  <si>
    <t>175 GOODELL</t>
  </si>
  <si>
    <t>50 005 06 0385 002</t>
  </si>
  <si>
    <t>169 GOODELL</t>
  </si>
  <si>
    <t>50 005 07 0005 000</t>
  </si>
  <si>
    <t>142 OAK</t>
  </si>
  <si>
    <t>50 005 07 0026 002</t>
  </si>
  <si>
    <t>144 WALNUT</t>
  </si>
  <si>
    <t>50 005 08 0035 000</t>
  </si>
  <si>
    <t>136 BATAVIA</t>
  </si>
  <si>
    <t>50 005 08 0085 004</t>
  </si>
  <si>
    <t>97 BATAVIA</t>
  </si>
  <si>
    <t>50 005 08 0100 000</t>
  </si>
  <si>
    <t>131 BATAVIA</t>
  </si>
  <si>
    <t>50 005 08 0107 000</t>
  </si>
  <si>
    <t>128 E HENRY</t>
  </si>
  <si>
    <t>50 005 08 0108 000</t>
  </si>
  <si>
    <t>126 E HENRY</t>
  </si>
  <si>
    <t>50 005 08 0114 000</t>
  </si>
  <si>
    <t>114 E HENRY</t>
  </si>
  <si>
    <t>50 005 08 0138 000</t>
  </si>
  <si>
    <t>67 E HENRY</t>
  </si>
  <si>
    <t>50 005 08 0178 000</t>
  </si>
  <si>
    <t>122 LEROY</t>
  </si>
  <si>
    <t>50 005 08 0184 000</t>
  </si>
  <si>
    <t>110 LEROY</t>
  </si>
  <si>
    <t>50 005 08 0185 000</t>
  </si>
  <si>
    <t>108 LEROY</t>
  </si>
  <si>
    <t>50 005 08 0189 000</t>
  </si>
  <si>
    <t>96 LEROY</t>
  </si>
  <si>
    <t>35-UNDER DURESS</t>
  </si>
  <si>
    <t>50 005 08 0220 000</t>
  </si>
  <si>
    <t>93 LEROY</t>
  </si>
  <si>
    <t>50 005 08 0233 000</t>
  </si>
  <si>
    <t>123 LEROY</t>
  </si>
  <si>
    <t>50 005 08 0238 000</t>
  </si>
  <si>
    <t>133 LEROY</t>
  </si>
  <si>
    <t>50 005 08 0256 000</t>
  </si>
  <si>
    <t>104 E PLEASANT</t>
  </si>
  <si>
    <t>50 005 09 0003 002</t>
  </si>
  <si>
    <t>1015 COOLIDGE</t>
  </si>
  <si>
    <t>50 005 09 0069 000</t>
  </si>
  <si>
    <t>104 PINE</t>
  </si>
  <si>
    <t>50 005 09 0081 000</t>
  </si>
  <si>
    <t>128 PINE</t>
  </si>
  <si>
    <t>50 005 09 0082 000</t>
  </si>
  <si>
    <t>130 PINE</t>
  </si>
  <si>
    <t>50 005 09 0100 000</t>
  </si>
  <si>
    <t>107 MAPLE</t>
  </si>
  <si>
    <t>50 005 09 0121 002</t>
  </si>
  <si>
    <t>131 ELM</t>
  </si>
  <si>
    <t>50 005 09 0126 002</t>
  </si>
  <si>
    <t>121 ELM</t>
  </si>
  <si>
    <t>50 005 09 0151 002</t>
  </si>
  <si>
    <t>130 ELM</t>
  </si>
  <si>
    <t>50 005 09 0157 002</t>
  </si>
  <si>
    <t>129 WALNUT</t>
  </si>
  <si>
    <t>50 005 09 0169 002</t>
  </si>
  <si>
    <t>105 WALNUT</t>
  </si>
  <si>
    <t>50 005 11 0058 000</t>
  </si>
  <si>
    <t>93 PINE</t>
  </si>
  <si>
    <t>50 005 11 0057 000</t>
  </si>
  <si>
    <t>50 005 11 0066 000</t>
  </si>
  <si>
    <t>77 PINE</t>
  </si>
  <si>
    <t>50 005 11 0082 000</t>
  </si>
  <si>
    <t>84 PINE</t>
  </si>
  <si>
    <t>50 005 11 0093 000</t>
  </si>
  <si>
    <t>95 MAPLE</t>
  </si>
  <si>
    <t>50 005 11 0157 000</t>
  </si>
  <si>
    <t>88 ELM</t>
  </si>
  <si>
    <t>50 005 11 0168 002</t>
  </si>
  <si>
    <t>87 WALNUT</t>
  </si>
  <si>
    <t>50 005 11 0185 000</t>
  </si>
  <si>
    <t>74 WALNUT</t>
  </si>
  <si>
    <t>50 005 11 0209 002</t>
  </si>
  <si>
    <t>77 CHESTNUT</t>
  </si>
  <si>
    <t>50 006 02 0021 000</t>
  </si>
  <si>
    <t>109 BURKE</t>
  </si>
  <si>
    <t>50 006 04 0106 000</t>
  </si>
  <si>
    <t>102 E ANCHOR</t>
  </si>
  <si>
    <t>50 006 04 0105 000</t>
  </si>
  <si>
    <t>50 007 01 0034 000</t>
  </si>
  <si>
    <t>20 E ANCHOR</t>
  </si>
  <si>
    <t>50 007 08 0009 000</t>
  </si>
  <si>
    <t>36 MYRTLE</t>
  </si>
  <si>
    <t>16-LC PAYOFF</t>
  </si>
  <si>
    <t>50 007 11 0018 000</t>
  </si>
  <si>
    <t>34 W CICOTTE</t>
  </si>
  <si>
    <t>MUTLI</t>
  </si>
  <si>
    <t>MULTIPLE RESIDENCES</t>
  </si>
  <si>
    <t>50 007 12 0004 000</t>
  </si>
  <si>
    <t>10 E PLEASANT</t>
  </si>
  <si>
    <t>50 008 02 0025 300</t>
  </si>
  <si>
    <t>167 DWIGHT</t>
  </si>
  <si>
    <t>50 008 03 0038 000</t>
  </si>
  <si>
    <t>147 CHARLES</t>
  </si>
  <si>
    <t>CD</t>
  </si>
  <si>
    <t>12-FROM LENDING INSTITUTION NOT EXPOSED</t>
  </si>
  <si>
    <t>50 008 05 0016 001</t>
  </si>
  <si>
    <t>168 DIVISION</t>
  </si>
  <si>
    <t>50 008 06 0028 300</t>
  </si>
  <si>
    <t>39 MYRTLE</t>
  </si>
  <si>
    <t>50 008 06 0034 002</t>
  </si>
  <si>
    <t>28 LINDEN</t>
  </si>
  <si>
    <t>50 008 06 0053 000</t>
  </si>
  <si>
    <t>27 LINDEN</t>
  </si>
  <si>
    <t>50 008 06 0055 000</t>
  </si>
  <si>
    <t>31 LINDEN</t>
  </si>
  <si>
    <t>50 008 06 0068 000</t>
  </si>
  <si>
    <t>32 W HENRY</t>
  </si>
  <si>
    <t>50 008 08 0019 000</t>
  </si>
  <si>
    <t>28 E HENRY</t>
  </si>
  <si>
    <t>50 008 14 0006 000</t>
  </si>
  <si>
    <t>230 CAMPBELL</t>
  </si>
  <si>
    <t>50 008 14 0012 302</t>
  </si>
  <si>
    <t>216 CAMPBELL</t>
  </si>
  <si>
    <t>50 008 14 0014 000</t>
  </si>
  <si>
    <t>50 008 14 0035 000</t>
  </si>
  <si>
    <t>225 CAMPBELL</t>
  </si>
  <si>
    <t>50 008 14 0034 000, 50 008 14 0036 000</t>
  </si>
  <si>
    <t>50 008 15 0019 002</t>
  </si>
  <si>
    <t>274 CAMPBELL</t>
  </si>
  <si>
    <t>50 008 16 0022 000</t>
  </si>
  <si>
    <t>289 FRAZIER</t>
  </si>
  <si>
    <t>50 008 16 0051 000</t>
  </si>
  <si>
    <t>351 FRAZIER</t>
  </si>
  <si>
    <t>50 008 16 0054 000</t>
  </si>
  <si>
    <t>357 FRAZIER</t>
  </si>
  <si>
    <t>50 009 01 0073 000</t>
  </si>
  <si>
    <t>416 POLK</t>
  </si>
  <si>
    <t>50 009 01 0105 304</t>
  </si>
  <si>
    <t>346 POLK</t>
  </si>
  <si>
    <t>50 009 01 0258 302</t>
  </si>
  <si>
    <t>433 POLK</t>
  </si>
  <si>
    <t>50 009 01 0335 000</t>
  </si>
  <si>
    <t>546 HOLFORD</t>
  </si>
  <si>
    <t>50 009 01 0341 000</t>
  </si>
  <si>
    <t>532 HOLFORD</t>
  </si>
  <si>
    <t>50 009 01 0383 000</t>
  </si>
  <si>
    <t>442 HOLFORD</t>
  </si>
  <si>
    <t>50 009 01 0384 000</t>
  </si>
  <si>
    <t>50 009 01 0422 000</t>
  </si>
  <si>
    <t>360 HOLFORD</t>
  </si>
  <si>
    <t>50 009 03 0019 002</t>
  </si>
  <si>
    <t>407 FRAZIER</t>
  </si>
  <si>
    <t>50 009 03 0073 002</t>
  </si>
  <si>
    <t>472 FRAZIER</t>
  </si>
  <si>
    <t>50 009 04 0039 002</t>
  </si>
  <si>
    <t>314 BEECHWOOD</t>
  </si>
  <si>
    <t>50 009 04 0264 000</t>
  </si>
  <si>
    <t>341 BEECHWOOD</t>
  </si>
  <si>
    <t>50 009 04 0271 300</t>
  </si>
  <si>
    <t>321 BEECHWOOD</t>
  </si>
  <si>
    <t>50 009 04 0284 300</t>
  </si>
  <si>
    <t>295 BEECHWOOD</t>
  </si>
  <si>
    <t>50 010 01 0099 000</t>
  </si>
  <si>
    <t>535 SUPERIOR</t>
  </si>
  <si>
    <t>50420</t>
  </si>
  <si>
    <t>URBAN RENEWAL PLAT</t>
  </si>
  <si>
    <t>50 010 01 0129 000</t>
  </si>
  <si>
    <t>519 LENOIR</t>
  </si>
  <si>
    <t>50 010 01 0144 000</t>
  </si>
  <si>
    <t>196 VISGER</t>
  </si>
  <si>
    <t>REST SNACK</t>
  </si>
  <si>
    <t>50 010 01 0153 000</t>
  </si>
  <si>
    <t>548 LENOIR</t>
  </si>
  <si>
    <t>50 010 01 0162 000</t>
  </si>
  <si>
    <t>524 LENOIR</t>
  </si>
  <si>
    <t>50 010 01 0214 000</t>
  </si>
  <si>
    <t>527 HOLFORD</t>
  </si>
  <si>
    <t>50 010 01 0223 000</t>
  </si>
  <si>
    <t>547 HOLFORD</t>
  </si>
  <si>
    <t>50 010 02 0024 000</t>
  </si>
  <si>
    <t>536 CAMPBELL</t>
  </si>
  <si>
    <t>50 010 02 0103 002</t>
  </si>
  <si>
    <t>443 CAMPBELL</t>
  </si>
  <si>
    <t>50 010 02 0113 302</t>
  </si>
  <si>
    <t>469 CAMPBELL</t>
  </si>
  <si>
    <t>50 010 02 0151 002</t>
  </si>
  <si>
    <t>547 CAMPBELL</t>
  </si>
  <si>
    <t>50 010 03 0059 000</t>
  </si>
  <si>
    <t>558 FRAZIER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</si>
  <si>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</si>
  <si>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</si>
  <si>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</si>
  <si>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</si>
  <si>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</si>
  <si>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</si>
  <si>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</si>
  <si>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% LV/Sale</t>
  </si>
  <si>
    <t>Not Used</t>
  </si>
  <si>
    <t>Northeast</t>
  </si>
  <si>
    <t>Urban Renewal Plat</t>
  </si>
  <si>
    <t>Residential-00010</t>
  </si>
  <si>
    <t>from $75 to $100; took overall into account</t>
  </si>
  <si>
    <t>*2024* Showing significant increase warranted</t>
  </si>
  <si>
    <t xml:space="preserve">*2024* Showing significant increase warranted </t>
  </si>
  <si>
    <t>from $120 to $150; took overall into account</t>
  </si>
  <si>
    <t>from $130 FF to $175 FF</t>
  </si>
  <si>
    <t>50 004 99 0012 000</t>
  </si>
  <si>
    <t>154 E GREAT LAKES</t>
  </si>
  <si>
    <t>402</t>
  </si>
  <si>
    <t>50 004 09 0015 000</t>
  </si>
  <si>
    <t>310 BURKE</t>
  </si>
  <si>
    <t>29-SELLERS INTEREST IN A LC</t>
  </si>
  <si>
    <t>50 004 09 0016 000</t>
  </si>
  <si>
    <t>50 005 09 0158 002</t>
  </si>
  <si>
    <t>127 WALNUT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</si>
</sst>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6" fontId="3" fillId="2" borderId="0" xfId="0" applyNumberFormat="1" applyFont="1" applyFill="1" applyAlignment="1">
      <alignment horizontal="center"/>
    </xf>
    <xf numFmtId="6" fontId="0" fillId="0" borderId="0" xfId="0" applyNumberFormat="1"/>
    <xf numFmtId="6" fontId="4" fillId="3" borderId="1" xfId="0" applyNumberFormat="1" applyFont="1" applyFill="1" applyBorder="1"/>
    <xf numFmtId="6" fontId="4" fillId="3" borderId="0" xfId="0" applyNumberFormat="1" applyFont="1" applyFill="1" applyBorder="1"/>
    <xf numFmtId="6" fontId="4" fillId="3" borderId="2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0" fillId="0" borderId="0" xfId="0" applyNumberFormat="1"/>
    <xf numFmtId="164" fontId="4" fillId="3" borderId="1" xfId="0" applyNumberFormat="1" applyFont="1" applyFill="1" applyBorder="1"/>
    <xf numFmtId="164" fontId="4" fillId="3" borderId="0" xfId="0" applyNumberFormat="1" applyFont="1" applyFill="1" applyBorder="1"/>
    <xf numFmtId="164" fontId="4" fillId="3" borderId="2" xfId="0" applyNumberFormat="1" applyFont="1" applyFill="1" applyBorder="1"/>
    <xf numFmtId="165" fontId="3" fillId="2" borderId="0" xfId="0" applyNumberFormat="1" applyFont="1" applyFill="1" applyAlignment="1">
      <alignment horizontal="center"/>
    </xf>
    <xf numFmtId="165" fontId="0" fillId="0" borderId="0" xfId="0" applyNumberFormat="1"/>
    <xf numFmtId="165" fontId="4" fillId="3" borderId="1" xfId="0" applyNumberFormat="1" applyFont="1" applyFill="1" applyBorder="1"/>
    <xf numFmtId="165" fontId="4" fillId="3" borderId="0" xfId="0" applyNumberFormat="1" applyFont="1" applyFill="1" applyBorder="1"/>
    <xf numFmtId="165" fontId="4" fillId="3" borderId="2" xfId="0" applyNumberFormat="1" applyFont="1" applyFill="1" applyBorder="1"/>
    <xf numFmtId="166" fontId="3" fillId="2" borderId="0" xfId="0" applyNumberFormat="1" applyFont="1" applyFill="1" applyAlignment="1">
      <alignment horizontal="center"/>
    </xf>
    <xf numFmtId="166" fontId="0" fillId="0" borderId="0" xfId="0" applyNumberFormat="1"/>
    <xf numFmtId="166" fontId="4" fillId="3" borderId="1" xfId="0" applyNumberFormat="1" applyFont="1" applyFill="1" applyBorder="1"/>
    <xf numFmtId="166" fontId="4" fillId="3" borderId="0" xfId="0" applyNumberFormat="1" applyFont="1" applyFill="1" applyBorder="1"/>
    <xf numFmtId="167" fontId="3" fillId="2" borderId="0" xfId="0" applyNumberFormat="1" applyFont="1" applyFill="1" applyAlignment="1">
      <alignment horizontal="center"/>
    </xf>
    <xf numFmtId="167" fontId="0" fillId="0" borderId="0" xfId="0" applyNumberFormat="1"/>
    <xf numFmtId="167" fontId="4" fillId="3" borderId="1" xfId="0" applyNumberFormat="1" applyFont="1" applyFill="1" applyBorder="1"/>
    <xf numFmtId="167" fontId="4" fillId="3" borderId="0" xfId="0" applyNumberFormat="1" applyFont="1" applyFill="1" applyBorder="1"/>
    <xf numFmtId="167" fontId="4" fillId="3" borderId="2" xfId="0" applyNumberFormat="1" applyFont="1" applyFill="1" applyBorder="1"/>
    <xf numFmtId="40" fontId="3" fillId="2" borderId="0" xfId="0" applyNumberFormat="1" applyFont="1" applyFill="1" applyAlignment="1">
      <alignment horizontal="center"/>
    </xf>
    <xf numFmtId="40" fontId="0" fillId="0" borderId="0" xfId="0" applyNumberFormat="1"/>
    <xf numFmtId="40" fontId="4" fillId="3" borderId="1" xfId="0" applyNumberFormat="1" applyFont="1" applyFill="1" applyBorder="1"/>
    <xf numFmtId="40" fontId="4" fillId="3" borderId="0" xfId="0" applyNumberFormat="1" applyFont="1" applyFill="1" applyBorder="1"/>
    <xf numFmtId="40" fontId="4" fillId="3" borderId="2" xfId="0" applyNumberFormat="1" applyFont="1" applyFill="1" applyBorder="1"/>
    <xf numFmtId="8" fontId="3" fillId="2" borderId="0" xfId="0" applyNumberFormat="1" applyFont="1" applyFill="1" applyAlignment="1">
      <alignment horizontal="center"/>
    </xf>
    <xf numFmtId="8" fontId="0" fillId="0" borderId="0" xfId="0" applyNumberFormat="1"/>
    <xf numFmtId="8" fontId="4" fillId="3" borderId="1" xfId="0" applyNumberFormat="1" applyFont="1" applyFill="1" applyBorder="1"/>
    <xf numFmtId="8" fontId="4" fillId="3" borderId="0" xfId="0" applyNumberFormat="1" applyFont="1" applyFill="1" applyBorder="1"/>
    <xf numFmtId="8" fontId="4" fillId="3" borderId="2" xfId="0" applyNumberFormat="1" applyFont="1" applyFill="1" applyBorder="1"/>
    <xf numFmtId="168" fontId="4" fillId="3" borderId="2" xfId="0" applyNumberFormat="1" applyFont="1" applyFill="1" applyBorder="1"/>
    <xf numFmtId="9" fontId="0" fillId="0" borderId="0" xfId="1" applyFont="1"/>
    <xf numFmtId="9" fontId="4" fillId="3" borderId="1" xfId="0" applyNumberFormat="1" applyFont="1" applyFill="1" applyBorder="1"/>
    <xf numFmtId="168" fontId="4" fillId="3" borderId="0" xfId="0" applyNumberFormat="1" applyFont="1" applyFill="1" applyBorder="1"/>
    <xf numFmtId="6" fontId="2" fillId="4" borderId="0" xfId="0" applyNumberFormat="1" applyFont="1" applyFill="1"/>
    <xf numFmtId="166" fontId="2" fillId="4" borderId="0" xfId="0" applyNumberFormat="1" applyFont="1" applyFill="1"/>
    <xf numFmtId="6" fontId="4" fillId="4" borderId="0" xfId="0" applyNumberFormat="1" applyFont="1" applyFill="1" applyBorder="1"/>
    <xf numFmtId="0" fontId="0" fillId="0" borderId="0" xfId="0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6" fontId="3" fillId="2" borderId="0" xfId="0" applyNumberFormat="1" applyFont="1" applyFill="1" applyAlignment="1">
      <alignment horizontal="center"/>
    </xf>
    <xf numFmtId="6" fontId="0" fillId="0" borderId="0" xfId="0" applyNumberFormat="1"/>
    <xf numFmtId="6" fontId="4" fillId="3" borderId="1" xfId="0" applyNumberFormat="1" applyFont="1" applyFill="1" applyBorder="1"/>
    <xf numFmtId="6" fontId="4" fillId="3" borderId="0" xfId="0" applyNumberFormat="1" applyFont="1" applyFill="1" applyBorder="1"/>
    <xf numFmtId="6" fontId="4" fillId="3" borderId="2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0" fillId="0" borderId="0" xfId="0" applyNumberFormat="1"/>
    <xf numFmtId="164" fontId="4" fillId="3" borderId="1" xfId="0" applyNumberFormat="1" applyFont="1" applyFill="1" applyBorder="1"/>
    <xf numFmtId="164" fontId="4" fillId="3" borderId="0" xfId="0" applyNumberFormat="1" applyFont="1" applyFill="1" applyBorder="1"/>
    <xf numFmtId="164" fontId="4" fillId="3" borderId="2" xfId="0" applyNumberFormat="1" applyFont="1" applyFill="1" applyBorder="1"/>
    <xf numFmtId="165" fontId="3" fillId="2" borderId="0" xfId="0" applyNumberFormat="1" applyFont="1" applyFill="1" applyAlignment="1">
      <alignment horizontal="center"/>
    </xf>
    <xf numFmtId="165" fontId="0" fillId="0" borderId="0" xfId="0" applyNumberFormat="1"/>
    <xf numFmtId="165" fontId="4" fillId="3" borderId="1" xfId="0" applyNumberFormat="1" applyFont="1" applyFill="1" applyBorder="1"/>
    <xf numFmtId="165" fontId="4" fillId="3" borderId="0" xfId="0" applyNumberFormat="1" applyFont="1" applyFill="1" applyBorder="1"/>
    <xf numFmtId="165" fontId="4" fillId="3" borderId="2" xfId="0" applyNumberFormat="1" applyFont="1" applyFill="1" applyBorder="1"/>
    <xf numFmtId="166" fontId="3" fillId="2" borderId="0" xfId="0" applyNumberFormat="1" applyFont="1" applyFill="1" applyAlignment="1">
      <alignment horizontal="center"/>
    </xf>
    <xf numFmtId="166" fontId="0" fillId="0" borderId="0" xfId="0" applyNumberFormat="1"/>
    <xf numFmtId="166" fontId="4" fillId="3" borderId="1" xfId="0" applyNumberFormat="1" applyFont="1" applyFill="1" applyBorder="1"/>
    <xf numFmtId="166" fontId="4" fillId="3" borderId="0" xfId="0" applyNumberFormat="1" applyFont="1" applyFill="1" applyBorder="1"/>
    <xf numFmtId="167" fontId="3" fillId="2" borderId="0" xfId="0" applyNumberFormat="1" applyFont="1" applyFill="1" applyAlignment="1">
      <alignment horizontal="center"/>
    </xf>
    <xf numFmtId="167" fontId="0" fillId="0" borderId="0" xfId="0" applyNumberFormat="1"/>
    <xf numFmtId="167" fontId="4" fillId="3" borderId="1" xfId="0" applyNumberFormat="1" applyFont="1" applyFill="1" applyBorder="1"/>
    <xf numFmtId="167" fontId="4" fillId="3" borderId="0" xfId="0" applyNumberFormat="1" applyFont="1" applyFill="1" applyBorder="1"/>
    <xf numFmtId="167" fontId="4" fillId="3" borderId="2" xfId="0" applyNumberFormat="1" applyFont="1" applyFill="1" applyBorder="1"/>
    <xf numFmtId="40" fontId="3" fillId="2" borderId="0" xfId="0" applyNumberFormat="1" applyFont="1" applyFill="1" applyAlignment="1">
      <alignment horizontal="center"/>
    </xf>
    <xf numFmtId="40" fontId="0" fillId="0" borderId="0" xfId="0" applyNumberFormat="1"/>
    <xf numFmtId="40" fontId="4" fillId="3" borderId="1" xfId="0" applyNumberFormat="1" applyFont="1" applyFill="1" applyBorder="1"/>
    <xf numFmtId="40" fontId="4" fillId="3" borderId="0" xfId="0" applyNumberFormat="1" applyFont="1" applyFill="1" applyBorder="1"/>
    <xf numFmtId="40" fontId="4" fillId="3" borderId="2" xfId="0" applyNumberFormat="1" applyFont="1" applyFill="1" applyBorder="1"/>
    <xf numFmtId="8" fontId="3" fillId="2" borderId="0" xfId="0" applyNumberFormat="1" applyFont="1" applyFill="1" applyAlignment="1">
      <alignment horizontal="center"/>
    </xf>
    <xf numFmtId="8" fontId="0" fillId="0" borderId="0" xfId="0" applyNumberFormat="1"/>
    <xf numFmtId="8" fontId="4" fillId="3" borderId="1" xfId="0" applyNumberFormat="1" applyFont="1" applyFill="1" applyBorder="1"/>
    <xf numFmtId="8" fontId="4" fillId="3" borderId="0" xfId="0" applyNumberFormat="1" applyFont="1" applyFill="1" applyBorder="1"/>
    <xf numFmtId="8" fontId="4" fillId="3" borderId="2" xfId="0" applyNumberFormat="1" applyFont="1" applyFill="1" applyBorder="1"/>
    <xf numFmtId="168" fontId="4" fillId="3" borderId="2" xfId="0" applyNumberFormat="1" applyFont="1" applyFill="1" applyBorder="1"/>
  </cellXfs>
  <cellStyles count="2">
    <cellStyle name="Normal" xfId="0" builtinId="0"/>
    <cellStyle name="Percent" xfId="1" builtinId="5"/>
  </cellStyles>
  <dxfs count="8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37"/>
  <sheetViews>
    <sheetView topLeftCell="G106" workbookViewId="0">
      <selection activeCell="K127" sqref="K127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6" customWidth="1"/>
    <col min="4" max="4" width="17.7109375" style="16" customWidth="1"/>
    <col min="5" max="5" width="8.7109375" customWidth="1"/>
    <col min="6" max="6" width="49.7109375" customWidth="1"/>
    <col min="7" max="8" width="17.7109375" style="16" customWidth="1"/>
    <col min="9" max="9" width="18.7109375" style="21" customWidth="1"/>
    <col min="10" max="10" width="17.7109375" style="16" customWidth="1"/>
    <col min="11" max="11" width="18.7109375" style="16" customWidth="1"/>
    <col min="12" max="12" width="20.7109375" style="16" customWidth="1"/>
    <col min="13" max="13" width="17.7109375" style="31" customWidth="1"/>
    <col min="14" max="14" width="10.7109375" style="35" customWidth="1"/>
    <col min="15" max="15" width="14.7109375" style="40" customWidth="1"/>
    <col min="16" max="16" width="16.7109375" style="40" customWidth="1"/>
    <col min="17" max="17" width="15.7109375" style="16" customWidth="1"/>
    <col min="18" max="18" width="17.7109375" style="16" customWidth="1"/>
    <col min="19" max="19" width="17.7109375" style="45" customWidth="1"/>
    <col min="20" max="20" width="17.7109375" style="40" customWidth="1"/>
    <col min="21" max="21" width="20.7109375" style="5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2" t="s">
        <v>0</v>
      </c>
      <c r="B1" s="2" t="s">
        <v>1</v>
      </c>
      <c r="C1" s="25" t="s">
        <v>2</v>
      </c>
      <c r="D1" s="15" t="s">
        <v>3</v>
      </c>
      <c r="E1" s="2" t="s">
        <v>4</v>
      </c>
      <c r="F1" s="2" t="s">
        <v>5</v>
      </c>
      <c r="G1" s="15" t="s">
        <v>6</v>
      </c>
      <c r="H1" s="15" t="s">
        <v>7</v>
      </c>
      <c r="I1" s="20" t="s">
        <v>8</v>
      </c>
      <c r="J1" s="15" t="s">
        <v>9</v>
      </c>
      <c r="K1" s="15" t="s">
        <v>10</v>
      </c>
      <c r="L1" s="15" t="s">
        <v>11</v>
      </c>
      <c r="M1" s="30" t="s">
        <v>12</v>
      </c>
      <c r="N1" s="34" t="s">
        <v>13</v>
      </c>
      <c r="O1" s="39" t="s">
        <v>14</v>
      </c>
      <c r="P1" s="39" t="s">
        <v>15</v>
      </c>
      <c r="Q1" s="15" t="s">
        <v>16</v>
      </c>
      <c r="R1" s="15" t="s">
        <v>17</v>
      </c>
      <c r="S1" s="44" t="s">
        <v>18</v>
      </c>
      <c r="T1" s="39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272</v>
      </c>
      <c r="B2" t="s">
        <v>273</v>
      </c>
      <c r="C2" s="26">
        <v>44407</v>
      </c>
      <c r="D2" s="16">
        <v>42000</v>
      </c>
      <c r="E2" t="s">
        <v>46</v>
      </c>
      <c r="F2" t="s">
        <v>135</v>
      </c>
      <c r="G2" s="16">
        <v>42000</v>
      </c>
      <c r="H2" s="16">
        <v>23800</v>
      </c>
      <c r="I2" s="21">
        <f t="shared" ref="I2:I33" si="0">H2/G2*100</f>
        <v>56.666666666666664</v>
      </c>
      <c r="J2" s="16">
        <v>75630</v>
      </c>
      <c r="K2" s="16">
        <f>G2-71730</f>
        <v>-29730</v>
      </c>
      <c r="L2" s="16">
        <v>3900</v>
      </c>
      <c r="M2" s="31">
        <v>30</v>
      </c>
      <c r="N2" s="35">
        <v>100</v>
      </c>
      <c r="O2" s="40">
        <v>6.9000000000000006E-2</v>
      </c>
      <c r="P2" s="40">
        <v>6.9000000000000006E-2</v>
      </c>
      <c r="Q2" s="16">
        <f t="shared" ref="Q2:Q33" si="1">K2/M2</f>
        <v>-991</v>
      </c>
      <c r="R2" s="16">
        <f t="shared" ref="R2:R33" si="2">K2/O2</f>
        <v>-430869.5652173913</v>
      </c>
      <c r="S2" s="45">
        <f t="shared" ref="S2:S33" si="3">K2/O2/43560</f>
        <v>-9.8914041601788636</v>
      </c>
      <c r="T2" s="40">
        <v>30</v>
      </c>
      <c r="U2" s="6" t="s">
        <v>55</v>
      </c>
      <c r="X2" t="s">
        <v>56</v>
      </c>
      <c r="Y2">
        <v>0</v>
      </c>
      <c r="Z2">
        <v>1</v>
      </c>
      <c r="AA2" s="8">
        <v>37020</v>
      </c>
      <c r="AC2" s="7" t="s">
        <v>57</v>
      </c>
      <c r="AD2" t="s">
        <v>58</v>
      </c>
    </row>
    <row r="3" spans="1:64" x14ac:dyDescent="0.25">
      <c r="A3" t="s">
        <v>151</v>
      </c>
      <c r="B3" t="s">
        <v>152</v>
      </c>
      <c r="C3" s="26">
        <v>44637</v>
      </c>
      <c r="D3" s="16">
        <v>48000</v>
      </c>
      <c r="E3" t="s">
        <v>61</v>
      </c>
      <c r="F3" t="s">
        <v>47</v>
      </c>
      <c r="G3" s="16">
        <v>48000</v>
      </c>
      <c r="H3" s="16">
        <v>24800</v>
      </c>
      <c r="I3" s="21">
        <f t="shared" si="0"/>
        <v>51.666666666666671</v>
      </c>
      <c r="J3" s="16">
        <v>79379</v>
      </c>
      <c r="K3" s="16">
        <f>G3-75479</f>
        <v>-27479</v>
      </c>
      <c r="L3" s="16">
        <v>3900</v>
      </c>
      <c r="M3" s="31">
        <v>30</v>
      </c>
      <c r="N3" s="35">
        <v>100</v>
      </c>
      <c r="O3" s="40">
        <v>6.9000000000000006E-2</v>
      </c>
      <c r="P3" s="40">
        <v>6.9000000000000006E-2</v>
      </c>
      <c r="Q3" s="16">
        <f t="shared" si="1"/>
        <v>-915.9666666666667</v>
      </c>
      <c r="R3" s="16">
        <f t="shared" si="2"/>
        <v>-398246.37681159418</v>
      </c>
      <c r="S3" s="45">
        <f t="shared" si="3"/>
        <v>-9.142478806510427</v>
      </c>
      <c r="T3" s="40">
        <v>30</v>
      </c>
      <c r="U3" s="6" t="s">
        <v>55</v>
      </c>
      <c r="X3" t="s">
        <v>56</v>
      </c>
      <c r="Y3">
        <v>0</v>
      </c>
      <c r="Z3">
        <v>1</v>
      </c>
      <c r="AA3" s="8">
        <v>37008</v>
      </c>
      <c r="AC3" s="7" t="s">
        <v>57</v>
      </c>
      <c r="AD3" t="s">
        <v>58</v>
      </c>
    </row>
    <row r="4" spans="1:64" x14ac:dyDescent="0.25">
      <c r="A4" t="s">
        <v>97</v>
      </c>
      <c r="B4" t="s">
        <v>98</v>
      </c>
      <c r="C4" s="26">
        <v>44314</v>
      </c>
      <c r="D4" s="16">
        <v>64000</v>
      </c>
      <c r="E4" t="s">
        <v>46</v>
      </c>
      <c r="F4" t="s">
        <v>47</v>
      </c>
      <c r="G4" s="16">
        <v>64000</v>
      </c>
      <c r="H4" s="16">
        <v>30500</v>
      </c>
      <c r="I4" s="21">
        <f t="shared" si="0"/>
        <v>47.65625</v>
      </c>
      <c r="J4" s="16">
        <v>96000</v>
      </c>
      <c r="K4" s="16">
        <f>G4-91947</f>
        <v>-27947</v>
      </c>
      <c r="L4" s="16">
        <v>4053</v>
      </c>
      <c r="M4" s="31">
        <v>31.176915000000001</v>
      </c>
      <c r="N4" s="35">
        <v>108</v>
      </c>
      <c r="O4" s="40">
        <v>7.3999999999999996E-2</v>
      </c>
      <c r="P4" s="40">
        <v>7.3999999999999996E-2</v>
      </c>
      <c r="Q4" s="16">
        <f t="shared" si="1"/>
        <v>-896.40042961274389</v>
      </c>
      <c r="R4" s="16">
        <f t="shared" si="2"/>
        <v>-377662.16216216219</v>
      </c>
      <c r="S4" s="45">
        <f t="shared" si="3"/>
        <v>-8.6699302608393527</v>
      </c>
      <c r="T4" s="40">
        <v>30</v>
      </c>
      <c r="U4" s="6" t="s">
        <v>55</v>
      </c>
      <c r="X4" t="s">
        <v>56</v>
      </c>
      <c r="Y4">
        <v>0</v>
      </c>
      <c r="Z4">
        <v>1</v>
      </c>
      <c r="AA4" s="8">
        <v>40823</v>
      </c>
      <c r="AC4" s="7" t="s">
        <v>57</v>
      </c>
      <c r="AD4" t="s">
        <v>58</v>
      </c>
    </row>
    <row r="5" spans="1:64" x14ac:dyDescent="0.25">
      <c r="A5" t="s">
        <v>234</v>
      </c>
      <c r="B5" t="s">
        <v>235</v>
      </c>
      <c r="C5" s="26">
        <v>44362</v>
      </c>
      <c r="D5" s="16">
        <v>67000</v>
      </c>
      <c r="E5" t="s">
        <v>46</v>
      </c>
      <c r="F5" t="s">
        <v>47</v>
      </c>
      <c r="G5" s="16">
        <v>67000</v>
      </c>
      <c r="H5" s="16">
        <v>33100</v>
      </c>
      <c r="I5" s="21">
        <f t="shared" si="0"/>
        <v>49.402985074626862</v>
      </c>
      <c r="J5" s="16">
        <v>104150</v>
      </c>
      <c r="K5" s="16">
        <f>G5-99373</f>
        <v>-32373</v>
      </c>
      <c r="L5" s="16">
        <v>4777</v>
      </c>
      <c r="M5" s="31">
        <v>36.742345999999998</v>
      </c>
      <c r="N5" s="35">
        <v>100</v>
      </c>
      <c r="O5" s="40">
        <v>0.10299999999999999</v>
      </c>
      <c r="P5" s="40">
        <v>0.10299999999999999</v>
      </c>
      <c r="Q5" s="16">
        <f t="shared" si="1"/>
        <v>-881.08146387821841</v>
      </c>
      <c r="R5" s="16">
        <f t="shared" si="2"/>
        <v>-314300.97087378643</v>
      </c>
      <c r="S5" s="45">
        <f t="shared" si="3"/>
        <v>-7.2153574580759052</v>
      </c>
      <c r="T5" s="40">
        <v>45</v>
      </c>
      <c r="U5" s="6" t="s">
        <v>55</v>
      </c>
      <c r="X5" t="s">
        <v>56</v>
      </c>
      <c r="Y5">
        <v>0</v>
      </c>
      <c r="Z5">
        <v>1</v>
      </c>
      <c r="AA5" s="8">
        <v>37015</v>
      </c>
      <c r="AC5" s="7" t="s">
        <v>57</v>
      </c>
      <c r="AD5" t="s">
        <v>58</v>
      </c>
    </row>
    <row r="6" spans="1:64" x14ac:dyDescent="0.25">
      <c r="A6" t="s">
        <v>142</v>
      </c>
      <c r="B6" t="s">
        <v>143</v>
      </c>
      <c r="C6" s="26">
        <v>44665</v>
      </c>
      <c r="D6" s="16">
        <v>27000</v>
      </c>
      <c r="E6" t="s">
        <v>61</v>
      </c>
      <c r="F6" t="s">
        <v>47</v>
      </c>
      <c r="G6" s="16">
        <v>27000</v>
      </c>
      <c r="H6" s="16">
        <v>19300</v>
      </c>
      <c r="I6" s="21">
        <f t="shared" si="0"/>
        <v>71.481481481481481</v>
      </c>
      <c r="J6" s="16">
        <v>53213</v>
      </c>
      <c r="K6" s="16">
        <f>G6-49313</f>
        <v>-22313</v>
      </c>
      <c r="L6" s="16">
        <v>3900</v>
      </c>
      <c r="M6" s="31">
        <v>30</v>
      </c>
      <c r="N6" s="35">
        <v>100</v>
      </c>
      <c r="O6" s="40">
        <v>6.9000000000000006E-2</v>
      </c>
      <c r="P6" s="40">
        <v>6.9000000000000006E-2</v>
      </c>
      <c r="Q6" s="16">
        <f t="shared" si="1"/>
        <v>-743.76666666666665</v>
      </c>
      <c r="R6" s="16">
        <f t="shared" si="2"/>
        <v>-323376.81159420288</v>
      </c>
      <c r="S6" s="45">
        <f t="shared" si="3"/>
        <v>-7.4237100916942813</v>
      </c>
      <c r="T6" s="40">
        <v>30</v>
      </c>
      <c r="U6" s="6" t="s">
        <v>55</v>
      </c>
      <c r="X6" t="s">
        <v>56</v>
      </c>
      <c r="Y6">
        <v>0</v>
      </c>
      <c r="Z6">
        <v>1</v>
      </c>
      <c r="AA6" s="8">
        <v>37008</v>
      </c>
      <c r="AC6" s="7" t="s">
        <v>57</v>
      </c>
      <c r="AD6" t="s">
        <v>58</v>
      </c>
    </row>
    <row r="7" spans="1:64" x14ac:dyDescent="0.25">
      <c r="A7" t="s">
        <v>172</v>
      </c>
      <c r="B7" t="s">
        <v>173</v>
      </c>
      <c r="C7" s="26">
        <v>44587</v>
      </c>
      <c r="D7" s="16">
        <v>46000</v>
      </c>
      <c r="E7" t="s">
        <v>85</v>
      </c>
      <c r="F7" t="s">
        <v>135</v>
      </c>
      <c r="G7" s="16">
        <v>46000</v>
      </c>
      <c r="H7" s="16">
        <v>23900</v>
      </c>
      <c r="I7" s="21">
        <f t="shared" si="0"/>
        <v>51.956521739130437</v>
      </c>
      <c r="J7" s="16">
        <v>76339</v>
      </c>
      <c r="K7" s="16">
        <f>G7-71510</f>
        <v>-25510</v>
      </c>
      <c r="L7" s="16">
        <v>4829</v>
      </c>
      <c r="M7" s="31">
        <v>37.148350999999998</v>
      </c>
      <c r="N7" s="35">
        <v>100</v>
      </c>
      <c r="O7" s="40">
        <v>0.106</v>
      </c>
      <c r="P7" s="40">
        <v>0.106</v>
      </c>
      <c r="Q7" s="16">
        <f t="shared" si="1"/>
        <v>-686.70612054893104</v>
      </c>
      <c r="R7" s="16">
        <f t="shared" si="2"/>
        <v>-240660.37735849057</v>
      </c>
      <c r="S7" s="45">
        <f t="shared" si="3"/>
        <v>-5.5248020513886722</v>
      </c>
      <c r="T7" s="40">
        <v>46</v>
      </c>
      <c r="U7" s="6" t="s">
        <v>55</v>
      </c>
      <c r="X7" t="s">
        <v>56</v>
      </c>
      <c r="Y7">
        <v>0</v>
      </c>
      <c r="Z7">
        <v>1</v>
      </c>
      <c r="AA7" s="8">
        <v>37013</v>
      </c>
      <c r="AC7" s="7" t="s">
        <v>57</v>
      </c>
      <c r="AD7" t="s">
        <v>58</v>
      </c>
    </row>
    <row r="8" spans="1:64" x14ac:dyDescent="0.25">
      <c r="A8" t="s">
        <v>178</v>
      </c>
      <c r="B8" t="s">
        <v>179</v>
      </c>
      <c r="C8" s="26">
        <v>44414</v>
      </c>
      <c r="D8" s="16">
        <v>32000</v>
      </c>
      <c r="E8" t="s">
        <v>61</v>
      </c>
      <c r="F8" t="s">
        <v>47</v>
      </c>
      <c r="G8" s="16">
        <v>32000</v>
      </c>
      <c r="H8" s="16">
        <v>16800</v>
      </c>
      <c r="I8" s="21">
        <f t="shared" si="0"/>
        <v>52.5</v>
      </c>
      <c r="J8" s="16">
        <v>56057</v>
      </c>
      <c r="K8" s="16">
        <f>G8-51967</f>
        <v>-19967</v>
      </c>
      <c r="L8" s="16">
        <v>4090</v>
      </c>
      <c r="M8" s="31">
        <v>31.464265000000001</v>
      </c>
      <c r="N8" s="35">
        <v>110</v>
      </c>
      <c r="O8" s="40">
        <v>7.5999999999999998E-2</v>
      </c>
      <c r="P8" s="40">
        <v>7.5999999999999998E-2</v>
      </c>
      <c r="Q8" s="16">
        <f t="shared" si="1"/>
        <v>-634.59292629273239</v>
      </c>
      <c r="R8" s="16">
        <f t="shared" si="2"/>
        <v>-262723.68421052635</v>
      </c>
      <c r="S8" s="45">
        <f t="shared" si="3"/>
        <v>-6.0313058817843519</v>
      </c>
      <c r="T8" s="40">
        <v>30</v>
      </c>
      <c r="U8" s="6" t="s">
        <v>55</v>
      </c>
      <c r="X8" t="s">
        <v>56</v>
      </c>
      <c r="Y8">
        <v>0</v>
      </c>
      <c r="Z8">
        <v>1</v>
      </c>
      <c r="AA8" s="8">
        <v>37012</v>
      </c>
      <c r="AC8" s="7" t="s">
        <v>57</v>
      </c>
      <c r="AD8" t="s">
        <v>58</v>
      </c>
    </row>
    <row r="9" spans="1:64" x14ac:dyDescent="0.25">
      <c r="A9" t="s">
        <v>151</v>
      </c>
      <c r="B9" t="s">
        <v>152</v>
      </c>
      <c r="C9" s="26">
        <v>45016</v>
      </c>
      <c r="D9" s="16">
        <v>57000</v>
      </c>
      <c r="E9" t="s">
        <v>61</v>
      </c>
      <c r="F9" t="s">
        <v>47</v>
      </c>
      <c r="G9" s="16">
        <v>57000</v>
      </c>
      <c r="H9" s="16">
        <v>29200</v>
      </c>
      <c r="I9" s="21">
        <f t="shared" si="0"/>
        <v>51.228070175438603</v>
      </c>
      <c r="J9" s="16">
        <v>79379</v>
      </c>
      <c r="K9" s="16">
        <f>G9-75479</f>
        <v>-18479</v>
      </c>
      <c r="L9" s="16">
        <v>3900</v>
      </c>
      <c r="M9" s="31">
        <v>30</v>
      </c>
      <c r="N9" s="35">
        <v>100</v>
      </c>
      <c r="O9" s="40">
        <v>6.9000000000000006E-2</v>
      </c>
      <c r="P9" s="40">
        <v>6.9000000000000006E-2</v>
      </c>
      <c r="Q9" s="16">
        <f t="shared" si="1"/>
        <v>-615.9666666666667</v>
      </c>
      <c r="R9" s="16">
        <f t="shared" si="2"/>
        <v>-267811.5942028985</v>
      </c>
      <c r="S9" s="45">
        <f t="shared" si="3"/>
        <v>-6.1481082232070365</v>
      </c>
      <c r="T9" s="40">
        <v>30</v>
      </c>
      <c r="U9" s="6" t="s">
        <v>55</v>
      </c>
      <c r="X9" t="s">
        <v>56</v>
      </c>
      <c r="Y9">
        <v>0</v>
      </c>
      <c r="Z9">
        <v>1</v>
      </c>
      <c r="AA9" s="8">
        <v>37008</v>
      </c>
      <c r="AC9" s="7" t="s">
        <v>57</v>
      </c>
      <c r="AD9" t="s">
        <v>58</v>
      </c>
    </row>
    <row r="10" spans="1:64" x14ac:dyDescent="0.25">
      <c r="A10" t="s">
        <v>138</v>
      </c>
      <c r="B10" t="s">
        <v>139</v>
      </c>
      <c r="C10" s="26">
        <v>44743</v>
      </c>
      <c r="D10" s="16">
        <v>75000</v>
      </c>
      <c r="E10" t="s">
        <v>46</v>
      </c>
      <c r="F10" t="s">
        <v>47</v>
      </c>
      <c r="G10" s="16">
        <v>75000</v>
      </c>
      <c r="H10" s="16">
        <v>38300</v>
      </c>
      <c r="I10" s="21">
        <f t="shared" si="0"/>
        <v>51.06666666666667</v>
      </c>
      <c r="J10" s="16">
        <v>105745</v>
      </c>
      <c r="K10" s="16">
        <f>G10-100230</f>
        <v>-25230</v>
      </c>
      <c r="L10" s="16">
        <v>5515</v>
      </c>
      <c r="M10" s="31">
        <v>42.426406999999998</v>
      </c>
      <c r="N10" s="35">
        <v>100</v>
      </c>
      <c r="O10" s="40">
        <v>0.13800000000000001</v>
      </c>
      <c r="P10" s="40">
        <v>0.13800000000000001</v>
      </c>
      <c r="Q10" s="16">
        <f t="shared" si="1"/>
        <v>-594.6768011724397</v>
      </c>
      <c r="R10" s="16">
        <f t="shared" si="2"/>
        <v>-182826.08695652173</v>
      </c>
      <c r="S10" s="45">
        <f t="shared" si="3"/>
        <v>-4.1971094342635844</v>
      </c>
      <c r="T10" s="40">
        <v>60</v>
      </c>
      <c r="U10" s="6" t="s">
        <v>55</v>
      </c>
      <c r="X10" t="s">
        <v>56</v>
      </c>
      <c r="Y10">
        <v>0</v>
      </c>
      <c r="Z10">
        <v>1</v>
      </c>
      <c r="AA10" s="8">
        <v>37007</v>
      </c>
      <c r="AC10" s="7" t="s">
        <v>57</v>
      </c>
      <c r="AD10" t="s">
        <v>58</v>
      </c>
    </row>
    <row r="11" spans="1:64" x14ac:dyDescent="0.25">
      <c r="A11" t="s">
        <v>166</v>
      </c>
      <c r="B11" t="s">
        <v>167</v>
      </c>
      <c r="C11" s="26">
        <v>44405</v>
      </c>
      <c r="D11" s="16">
        <v>32000</v>
      </c>
      <c r="E11" t="s">
        <v>46</v>
      </c>
      <c r="F11" t="s">
        <v>47</v>
      </c>
      <c r="G11" s="16">
        <v>32000</v>
      </c>
      <c r="H11" s="16">
        <v>17300</v>
      </c>
      <c r="I11" s="21">
        <f t="shared" si="0"/>
        <v>54.0625</v>
      </c>
      <c r="J11" s="16">
        <v>55173</v>
      </c>
      <c r="K11" s="16">
        <f>G11-50558</f>
        <v>-18558</v>
      </c>
      <c r="L11" s="16">
        <v>4615</v>
      </c>
      <c r="M11" s="31">
        <v>35.496479000000001</v>
      </c>
      <c r="N11" s="35">
        <v>100</v>
      </c>
      <c r="O11" s="40">
        <v>9.6000000000000002E-2</v>
      </c>
      <c r="P11" s="40">
        <v>9.6000000000000002E-2</v>
      </c>
      <c r="Q11" s="16">
        <f t="shared" si="1"/>
        <v>-522.81241753583504</v>
      </c>
      <c r="R11" s="16">
        <f t="shared" si="2"/>
        <v>-193312.5</v>
      </c>
      <c r="S11" s="45">
        <f t="shared" si="3"/>
        <v>-4.4378443526170797</v>
      </c>
      <c r="T11" s="40">
        <v>42</v>
      </c>
      <c r="U11" s="6" t="s">
        <v>55</v>
      </c>
      <c r="X11" t="s">
        <v>56</v>
      </c>
      <c r="Y11">
        <v>0</v>
      </c>
      <c r="Z11">
        <v>1</v>
      </c>
      <c r="AA11" s="8">
        <v>37012</v>
      </c>
      <c r="AC11" s="7" t="s">
        <v>57</v>
      </c>
      <c r="AD11" t="s">
        <v>58</v>
      </c>
    </row>
    <row r="12" spans="1:64" x14ac:dyDescent="0.25">
      <c r="A12" t="s">
        <v>126</v>
      </c>
      <c r="B12" t="s">
        <v>127</v>
      </c>
      <c r="C12" s="26">
        <v>44532</v>
      </c>
      <c r="D12" s="16">
        <v>50000</v>
      </c>
      <c r="E12" t="s">
        <v>61</v>
      </c>
      <c r="F12" t="s">
        <v>47</v>
      </c>
      <c r="G12" s="16">
        <v>50000</v>
      </c>
      <c r="H12" s="16">
        <v>25700</v>
      </c>
      <c r="I12" s="21">
        <f t="shared" si="0"/>
        <v>51.4</v>
      </c>
      <c r="J12" s="16">
        <v>85697</v>
      </c>
      <c r="K12" s="16">
        <f>G12-78008</f>
        <v>-28008</v>
      </c>
      <c r="L12" s="16">
        <v>7689</v>
      </c>
      <c r="M12" s="31">
        <v>59.143892000000001</v>
      </c>
      <c r="N12" s="35">
        <v>110</v>
      </c>
      <c r="O12" s="40">
        <v>0.26800000000000002</v>
      </c>
      <c r="P12" s="40">
        <v>0.26800000000000002</v>
      </c>
      <c r="Q12" s="16">
        <f t="shared" si="1"/>
        <v>-473.55693128886412</v>
      </c>
      <c r="R12" s="16">
        <f t="shared" si="2"/>
        <v>-104507.46268656716</v>
      </c>
      <c r="S12" s="45">
        <f t="shared" si="3"/>
        <v>-2.3991612186998887</v>
      </c>
      <c r="T12" s="40">
        <v>106</v>
      </c>
      <c r="U12" s="6" t="s">
        <v>55</v>
      </c>
      <c r="X12" t="s">
        <v>56</v>
      </c>
      <c r="Y12">
        <v>0</v>
      </c>
      <c r="Z12">
        <v>1</v>
      </c>
      <c r="AA12" t="s">
        <v>50</v>
      </c>
      <c r="AC12" s="7" t="s">
        <v>57</v>
      </c>
      <c r="AD12" t="s">
        <v>58</v>
      </c>
    </row>
    <row r="13" spans="1:64" x14ac:dyDescent="0.25">
      <c r="A13" t="s">
        <v>247</v>
      </c>
      <c r="B13" t="s">
        <v>248</v>
      </c>
      <c r="C13" s="26">
        <v>44396</v>
      </c>
      <c r="D13" s="16">
        <v>19000</v>
      </c>
      <c r="E13" t="s">
        <v>61</v>
      </c>
      <c r="F13" t="s">
        <v>47</v>
      </c>
      <c r="G13" s="16">
        <v>19000</v>
      </c>
      <c r="H13" s="16">
        <v>11200</v>
      </c>
      <c r="I13" s="21">
        <f t="shared" si="0"/>
        <v>58.947368421052623</v>
      </c>
      <c r="J13" s="16">
        <v>35371</v>
      </c>
      <c r="K13" s="16">
        <f>G13-31471</f>
        <v>-12471</v>
      </c>
      <c r="L13" s="16">
        <v>3900</v>
      </c>
      <c r="M13" s="31">
        <v>30</v>
      </c>
      <c r="N13" s="35">
        <v>100</v>
      </c>
      <c r="O13" s="40">
        <v>6.9000000000000006E-2</v>
      </c>
      <c r="P13" s="40">
        <v>6.9000000000000006E-2</v>
      </c>
      <c r="Q13" s="16">
        <f t="shared" si="1"/>
        <v>-415.7</v>
      </c>
      <c r="R13" s="16">
        <f t="shared" si="2"/>
        <v>-180739.13043478259</v>
      </c>
      <c r="S13" s="45">
        <f t="shared" si="3"/>
        <v>-4.1491995049307295</v>
      </c>
      <c r="T13" s="40">
        <v>30</v>
      </c>
      <c r="U13" s="6" t="s">
        <v>55</v>
      </c>
      <c r="X13" t="s">
        <v>56</v>
      </c>
      <c r="Y13">
        <v>0</v>
      </c>
      <c r="Z13">
        <v>1</v>
      </c>
      <c r="AA13" s="8">
        <v>37015</v>
      </c>
      <c r="AC13" s="7" t="s">
        <v>57</v>
      </c>
      <c r="AD13" t="s">
        <v>58</v>
      </c>
    </row>
    <row r="14" spans="1:64" x14ac:dyDescent="0.25">
      <c r="A14" t="s">
        <v>59</v>
      </c>
      <c r="B14" t="s">
        <v>60</v>
      </c>
      <c r="C14" s="26">
        <v>44512</v>
      </c>
      <c r="D14" s="16">
        <v>45000</v>
      </c>
      <c r="E14" t="s">
        <v>61</v>
      </c>
      <c r="F14" t="s">
        <v>47</v>
      </c>
      <c r="G14" s="16">
        <v>45000</v>
      </c>
      <c r="H14" s="16">
        <v>19200</v>
      </c>
      <c r="I14" s="21">
        <f t="shared" si="0"/>
        <v>42.666666666666671</v>
      </c>
      <c r="J14" s="16">
        <v>61153</v>
      </c>
      <c r="K14" s="16">
        <f>G14-57180</f>
        <v>-12180</v>
      </c>
      <c r="L14" s="16">
        <v>3973</v>
      </c>
      <c r="M14" s="31">
        <v>30.563213000000001</v>
      </c>
      <c r="N14" s="35">
        <v>103.790001</v>
      </c>
      <c r="O14" s="40">
        <v>7.0999999999999994E-2</v>
      </c>
      <c r="P14" s="40">
        <v>7.0999999999999994E-2</v>
      </c>
      <c r="Q14" s="16">
        <f t="shared" si="1"/>
        <v>-398.51831023132286</v>
      </c>
      <c r="R14" s="16">
        <f t="shared" si="2"/>
        <v>-171549.29577464791</v>
      </c>
      <c r="S14" s="45">
        <f t="shared" si="3"/>
        <v>-3.9382299305474726</v>
      </c>
      <c r="T14" s="40">
        <v>30</v>
      </c>
      <c r="U14" s="6" t="s">
        <v>55</v>
      </c>
      <c r="X14" t="s">
        <v>56</v>
      </c>
      <c r="Y14">
        <v>1</v>
      </c>
      <c r="Z14">
        <v>1</v>
      </c>
      <c r="AA14" s="8">
        <v>37001</v>
      </c>
      <c r="AC14" s="7" t="s">
        <v>57</v>
      </c>
      <c r="AD14" t="s">
        <v>58</v>
      </c>
    </row>
    <row r="15" spans="1:64" x14ac:dyDescent="0.25">
      <c r="A15" t="s">
        <v>252</v>
      </c>
      <c r="B15" t="s">
        <v>253</v>
      </c>
      <c r="C15" s="26">
        <v>44672</v>
      </c>
      <c r="D15" s="16">
        <v>120000</v>
      </c>
      <c r="E15" t="s">
        <v>46</v>
      </c>
      <c r="F15" t="s">
        <v>47</v>
      </c>
      <c r="G15" s="16">
        <v>120000</v>
      </c>
      <c r="H15" s="16">
        <v>72600</v>
      </c>
      <c r="I15" s="21">
        <f t="shared" si="0"/>
        <v>60.5</v>
      </c>
      <c r="J15" s="16">
        <v>145935</v>
      </c>
      <c r="K15" s="16">
        <f>G15-135515</f>
        <v>-15515</v>
      </c>
      <c r="L15" s="16">
        <v>10420</v>
      </c>
      <c r="M15" s="31">
        <v>40</v>
      </c>
      <c r="N15" s="35">
        <v>100</v>
      </c>
      <c r="O15" s="40">
        <v>9.1999999999999998E-2</v>
      </c>
      <c r="P15" s="40">
        <v>9.1999999999999998E-2</v>
      </c>
      <c r="Q15" s="16">
        <f t="shared" si="1"/>
        <v>-387.875</v>
      </c>
      <c r="R15" s="16">
        <f t="shared" si="2"/>
        <v>-168641.30434782608</v>
      </c>
      <c r="S15" s="45">
        <f t="shared" si="3"/>
        <v>-3.8714716333293406</v>
      </c>
      <c r="T15" s="40">
        <v>40</v>
      </c>
      <c r="U15" s="6" t="s">
        <v>254</v>
      </c>
      <c r="X15" t="s">
        <v>49</v>
      </c>
      <c r="Y15">
        <v>0</v>
      </c>
      <c r="Z15">
        <v>1</v>
      </c>
      <c r="AA15" t="s">
        <v>50</v>
      </c>
      <c r="AB15" t="s">
        <v>255</v>
      </c>
      <c r="AC15" s="7" t="s">
        <v>52</v>
      </c>
    </row>
    <row r="16" spans="1:64" x14ac:dyDescent="0.25">
      <c r="A16" t="s">
        <v>70</v>
      </c>
      <c r="B16" t="s">
        <v>71</v>
      </c>
      <c r="C16" s="26">
        <v>44673</v>
      </c>
      <c r="D16" s="16">
        <v>14000</v>
      </c>
      <c r="E16" t="s">
        <v>46</v>
      </c>
      <c r="F16" t="s">
        <v>47</v>
      </c>
      <c r="G16" s="16">
        <v>14000</v>
      </c>
      <c r="H16" s="16">
        <v>22500</v>
      </c>
      <c r="I16" s="21">
        <f t="shared" si="0"/>
        <v>160.71428571428572</v>
      </c>
      <c r="J16" s="16">
        <v>48706</v>
      </c>
      <c r="K16" s="16">
        <f>G16-38655</f>
        <v>-24655</v>
      </c>
      <c r="L16" s="16">
        <v>10051</v>
      </c>
      <c r="M16" s="31">
        <v>66.790000000000006</v>
      </c>
      <c r="N16" s="35">
        <v>46.080002</v>
      </c>
      <c r="O16" s="40">
        <v>7.0999999999999994E-2</v>
      </c>
      <c r="P16" s="40">
        <v>7.0999999999999994E-2</v>
      </c>
      <c r="Q16" s="16">
        <f t="shared" si="1"/>
        <v>-369.14208713879322</v>
      </c>
      <c r="R16" s="16">
        <f t="shared" si="2"/>
        <v>-347253.52112676058</v>
      </c>
      <c r="S16" s="45">
        <f t="shared" si="3"/>
        <v>-7.9718439193471209</v>
      </c>
      <c r="T16" s="40">
        <v>66.790000000000006</v>
      </c>
      <c r="U16" s="6" t="s">
        <v>72</v>
      </c>
      <c r="X16" t="s">
        <v>49</v>
      </c>
      <c r="Y16">
        <v>0</v>
      </c>
      <c r="Z16">
        <v>1</v>
      </c>
      <c r="AA16" s="8">
        <v>38443</v>
      </c>
      <c r="AB16" t="s">
        <v>73</v>
      </c>
      <c r="AC16" s="7" t="s">
        <v>52</v>
      </c>
    </row>
    <row r="17" spans="1:30" x14ac:dyDescent="0.25">
      <c r="A17" t="s">
        <v>300</v>
      </c>
      <c r="B17" t="s">
        <v>301</v>
      </c>
      <c r="C17" s="26">
        <v>44538</v>
      </c>
      <c r="D17" s="16">
        <v>22000</v>
      </c>
      <c r="E17" t="s">
        <v>46</v>
      </c>
      <c r="F17" t="s">
        <v>47</v>
      </c>
      <c r="G17" s="16">
        <v>22000</v>
      </c>
      <c r="H17" s="16">
        <v>10700</v>
      </c>
      <c r="I17" s="21">
        <f t="shared" si="0"/>
        <v>48.63636363636364</v>
      </c>
      <c r="J17" s="16">
        <v>35369</v>
      </c>
      <c r="K17" s="16">
        <f>G17-31469</f>
        <v>-9469</v>
      </c>
      <c r="L17" s="16">
        <v>3900</v>
      </c>
      <c r="M17" s="31">
        <v>30</v>
      </c>
      <c r="N17" s="35">
        <v>100</v>
      </c>
      <c r="O17" s="40">
        <v>6.9000000000000006E-2</v>
      </c>
      <c r="P17" s="40">
        <v>6.9000000000000006E-2</v>
      </c>
      <c r="Q17" s="16">
        <f t="shared" si="1"/>
        <v>-315.63333333333333</v>
      </c>
      <c r="R17" s="16">
        <f t="shared" si="2"/>
        <v>-137231.88405797101</v>
      </c>
      <c r="S17" s="45">
        <f t="shared" si="3"/>
        <v>-3.1504105614777549</v>
      </c>
      <c r="T17" s="40">
        <v>30</v>
      </c>
      <c r="U17" s="6" t="s">
        <v>55</v>
      </c>
      <c r="X17" t="s">
        <v>56</v>
      </c>
      <c r="Y17">
        <v>0</v>
      </c>
      <c r="Z17">
        <v>1</v>
      </c>
      <c r="AA17" s="8">
        <v>37022</v>
      </c>
      <c r="AC17" s="7" t="s">
        <v>57</v>
      </c>
      <c r="AD17" t="s">
        <v>58</v>
      </c>
    </row>
    <row r="18" spans="1:30" x14ac:dyDescent="0.25">
      <c r="A18" t="s">
        <v>184</v>
      </c>
      <c r="B18" t="s">
        <v>185</v>
      </c>
      <c r="C18" s="26">
        <v>44973</v>
      </c>
      <c r="D18" s="16">
        <v>35000</v>
      </c>
      <c r="E18" t="s">
        <v>46</v>
      </c>
      <c r="F18" t="s">
        <v>47</v>
      </c>
      <c r="G18" s="16">
        <v>35000</v>
      </c>
      <c r="H18" s="16">
        <v>18200</v>
      </c>
      <c r="I18" s="21">
        <f t="shared" si="0"/>
        <v>52</v>
      </c>
      <c r="J18" s="16">
        <v>48892</v>
      </c>
      <c r="K18" s="16">
        <f>G18-44802</f>
        <v>-9802</v>
      </c>
      <c r="L18" s="16">
        <v>4090</v>
      </c>
      <c r="M18" s="31">
        <v>31.464265000000001</v>
      </c>
      <c r="N18" s="35">
        <v>110</v>
      </c>
      <c r="O18" s="40">
        <v>7.5999999999999998E-2</v>
      </c>
      <c r="P18" s="40">
        <v>7.5999999999999998E-2</v>
      </c>
      <c r="Q18" s="16">
        <f t="shared" si="1"/>
        <v>-311.52801439982784</v>
      </c>
      <c r="R18" s="16">
        <f t="shared" si="2"/>
        <v>-128973.68421052632</v>
      </c>
      <c r="S18" s="45">
        <f t="shared" si="3"/>
        <v>-2.9608283794886665</v>
      </c>
      <c r="T18" s="40">
        <v>30</v>
      </c>
      <c r="U18" s="6" t="s">
        <v>55</v>
      </c>
      <c r="X18" t="s">
        <v>56</v>
      </c>
      <c r="Y18">
        <v>0</v>
      </c>
      <c r="Z18">
        <v>1</v>
      </c>
      <c r="AA18" s="8">
        <v>40583</v>
      </c>
      <c r="AC18" s="7" t="s">
        <v>57</v>
      </c>
      <c r="AD18" t="s">
        <v>58</v>
      </c>
    </row>
    <row r="19" spans="1:30" x14ac:dyDescent="0.25">
      <c r="A19" t="s">
        <v>153</v>
      </c>
      <c r="B19" t="s">
        <v>154</v>
      </c>
      <c r="C19" s="26">
        <v>44596</v>
      </c>
      <c r="D19" s="16">
        <v>32000</v>
      </c>
      <c r="E19" t="s">
        <v>46</v>
      </c>
      <c r="F19" t="s">
        <v>47</v>
      </c>
      <c r="G19" s="16">
        <v>32000</v>
      </c>
      <c r="H19" s="16">
        <v>14300</v>
      </c>
      <c r="I19" s="21">
        <f t="shared" si="0"/>
        <v>44.6875</v>
      </c>
      <c r="J19" s="16">
        <v>45002</v>
      </c>
      <c r="K19" s="16">
        <f>G19-41102</f>
        <v>-9102</v>
      </c>
      <c r="L19" s="16">
        <v>3900</v>
      </c>
      <c r="M19" s="31">
        <v>30</v>
      </c>
      <c r="N19" s="35">
        <v>100</v>
      </c>
      <c r="O19" s="40">
        <v>6.9000000000000006E-2</v>
      </c>
      <c r="P19" s="40">
        <v>6.9000000000000006E-2</v>
      </c>
      <c r="Q19" s="16">
        <f t="shared" si="1"/>
        <v>-303.39999999999998</v>
      </c>
      <c r="R19" s="16">
        <f t="shared" si="2"/>
        <v>-131913.04347826086</v>
      </c>
      <c r="S19" s="45">
        <f t="shared" si="3"/>
        <v>-3.0283067832474946</v>
      </c>
      <c r="T19" s="40">
        <v>30</v>
      </c>
      <c r="U19" s="6" t="s">
        <v>55</v>
      </c>
      <c r="X19" t="s">
        <v>56</v>
      </c>
      <c r="Y19">
        <v>0</v>
      </c>
      <c r="Z19">
        <v>1</v>
      </c>
      <c r="AA19" s="8">
        <v>37011</v>
      </c>
      <c r="AC19" s="7" t="s">
        <v>57</v>
      </c>
      <c r="AD19" t="s">
        <v>58</v>
      </c>
    </row>
    <row r="20" spans="1:30" x14ac:dyDescent="0.25">
      <c r="A20" t="s">
        <v>260</v>
      </c>
      <c r="B20" t="s">
        <v>261</v>
      </c>
      <c r="C20" s="26">
        <v>45008</v>
      </c>
      <c r="D20" s="16">
        <v>27900</v>
      </c>
      <c r="E20" t="s">
        <v>262</v>
      </c>
      <c r="F20" t="s">
        <v>263</v>
      </c>
      <c r="G20" s="16">
        <v>27900</v>
      </c>
      <c r="H20" s="16">
        <v>16000</v>
      </c>
      <c r="I20" s="21">
        <f t="shared" si="0"/>
        <v>57.347670250896051</v>
      </c>
      <c r="J20" s="16">
        <v>43008</v>
      </c>
      <c r="K20" s="16">
        <f>G20-38440</f>
        <v>-10540</v>
      </c>
      <c r="L20" s="16">
        <v>4568</v>
      </c>
      <c r="M20" s="31">
        <v>35.135452000000001</v>
      </c>
      <c r="N20" s="35">
        <v>82.300003000000004</v>
      </c>
      <c r="O20" s="40">
        <v>9.4E-2</v>
      </c>
      <c r="P20" s="40">
        <v>9.4E-2</v>
      </c>
      <c r="Q20" s="16">
        <f t="shared" si="1"/>
        <v>-299.98191000929774</v>
      </c>
      <c r="R20" s="16">
        <f t="shared" si="2"/>
        <v>-112127.65957446808</v>
      </c>
      <c r="S20" s="45">
        <f t="shared" si="3"/>
        <v>-2.5740968681007366</v>
      </c>
      <c r="T20" s="40">
        <v>50</v>
      </c>
      <c r="U20" s="6" t="s">
        <v>55</v>
      </c>
      <c r="X20" t="s">
        <v>56</v>
      </c>
      <c r="Y20">
        <v>0</v>
      </c>
      <c r="Z20">
        <v>1</v>
      </c>
      <c r="AA20" s="8">
        <v>37019</v>
      </c>
      <c r="AC20" s="7" t="s">
        <v>57</v>
      </c>
      <c r="AD20" t="s">
        <v>58</v>
      </c>
    </row>
    <row r="21" spans="1:30" x14ac:dyDescent="0.25">
      <c r="A21" t="s">
        <v>338</v>
      </c>
      <c r="B21" t="s">
        <v>339</v>
      </c>
      <c r="C21" s="26">
        <v>44470</v>
      </c>
      <c r="D21" s="16">
        <v>35000</v>
      </c>
      <c r="E21" t="s">
        <v>46</v>
      </c>
      <c r="F21" t="s">
        <v>47</v>
      </c>
      <c r="G21" s="16">
        <v>35000</v>
      </c>
      <c r="H21" s="16">
        <v>14400</v>
      </c>
      <c r="I21" s="21">
        <f t="shared" si="0"/>
        <v>41.142857142857139</v>
      </c>
      <c r="J21" s="16">
        <v>48324</v>
      </c>
      <c r="K21" s="16">
        <f>G21-44234</f>
        <v>-9234</v>
      </c>
      <c r="L21" s="16">
        <v>4090</v>
      </c>
      <c r="M21" s="31">
        <v>31.464265000000001</v>
      </c>
      <c r="N21" s="35">
        <v>110</v>
      </c>
      <c r="O21" s="40">
        <v>7.5999999999999998E-2</v>
      </c>
      <c r="P21" s="40">
        <v>7.5999999999999998E-2</v>
      </c>
      <c r="Q21" s="16">
        <f t="shared" si="1"/>
        <v>-293.47578912140489</v>
      </c>
      <c r="R21" s="16">
        <f t="shared" si="2"/>
        <v>-121500</v>
      </c>
      <c r="S21" s="45">
        <f t="shared" si="3"/>
        <v>-2.7892561983471076</v>
      </c>
      <c r="T21" s="40">
        <v>30</v>
      </c>
      <c r="U21" s="6" t="s">
        <v>55</v>
      </c>
      <c r="X21" t="s">
        <v>56</v>
      </c>
      <c r="Y21">
        <v>0</v>
      </c>
      <c r="Z21">
        <v>1</v>
      </c>
      <c r="AA21" s="8">
        <v>37034</v>
      </c>
      <c r="AC21" s="7" t="s">
        <v>57</v>
      </c>
      <c r="AD21" t="s">
        <v>58</v>
      </c>
    </row>
    <row r="22" spans="1:30" x14ac:dyDescent="0.25">
      <c r="A22" t="s">
        <v>182</v>
      </c>
      <c r="B22" t="s">
        <v>183</v>
      </c>
      <c r="C22" s="26">
        <v>44820</v>
      </c>
      <c r="D22" s="16">
        <v>44900</v>
      </c>
      <c r="E22" t="s">
        <v>61</v>
      </c>
      <c r="F22" t="s">
        <v>47</v>
      </c>
      <c r="G22" s="16">
        <v>44900</v>
      </c>
      <c r="H22" s="16">
        <v>21400</v>
      </c>
      <c r="I22" s="21">
        <f t="shared" si="0"/>
        <v>47.661469933184861</v>
      </c>
      <c r="J22" s="16">
        <v>58219</v>
      </c>
      <c r="K22" s="16">
        <f>G22-54129</f>
        <v>-9229</v>
      </c>
      <c r="L22" s="16">
        <v>4090</v>
      </c>
      <c r="M22" s="31">
        <v>31.464265000000001</v>
      </c>
      <c r="N22" s="35">
        <v>110</v>
      </c>
      <c r="O22" s="40">
        <v>7.5999999999999998E-2</v>
      </c>
      <c r="P22" s="40">
        <v>7.5999999999999998E-2</v>
      </c>
      <c r="Q22" s="16">
        <f t="shared" si="1"/>
        <v>-293.31687868761594</v>
      </c>
      <c r="R22" s="16">
        <f t="shared" si="2"/>
        <v>-121434.21052631579</v>
      </c>
      <c r="S22" s="45">
        <f t="shared" si="3"/>
        <v>-2.7877458798511427</v>
      </c>
      <c r="T22" s="40">
        <v>30</v>
      </c>
      <c r="U22" s="6" t="s">
        <v>55</v>
      </c>
      <c r="X22" t="s">
        <v>56</v>
      </c>
      <c r="Y22">
        <v>0</v>
      </c>
      <c r="Z22">
        <v>1</v>
      </c>
      <c r="AA22" s="8">
        <v>40583</v>
      </c>
      <c r="AC22" s="7" t="s">
        <v>57</v>
      </c>
      <c r="AD22" t="s">
        <v>58</v>
      </c>
    </row>
    <row r="23" spans="1:30" x14ac:dyDescent="0.25">
      <c r="A23" t="s">
        <v>128</v>
      </c>
      <c r="B23" t="s">
        <v>129</v>
      </c>
      <c r="C23" s="26">
        <v>44776</v>
      </c>
      <c r="D23" s="16">
        <v>26000</v>
      </c>
      <c r="E23" t="s">
        <v>46</v>
      </c>
      <c r="F23" t="s">
        <v>47</v>
      </c>
      <c r="G23" s="16">
        <v>26000</v>
      </c>
      <c r="H23" s="16">
        <v>13900</v>
      </c>
      <c r="I23" s="21">
        <f t="shared" si="0"/>
        <v>53.46153846153846</v>
      </c>
      <c r="J23" s="16">
        <v>38617</v>
      </c>
      <c r="K23" s="16">
        <f>G23-34717</f>
        <v>-8717</v>
      </c>
      <c r="L23" s="16">
        <v>3900</v>
      </c>
      <c r="M23" s="31">
        <v>30</v>
      </c>
      <c r="N23" s="35">
        <v>100</v>
      </c>
      <c r="O23" s="40">
        <v>6.9000000000000006E-2</v>
      </c>
      <c r="P23" s="40">
        <v>6.9000000000000006E-2</v>
      </c>
      <c r="Q23" s="16">
        <f t="shared" si="1"/>
        <v>-290.56666666666666</v>
      </c>
      <c r="R23" s="16">
        <f t="shared" si="2"/>
        <v>-126333.33333333333</v>
      </c>
      <c r="S23" s="45">
        <f t="shared" si="3"/>
        <v>-2.9002142638506272</v>
      </c>
      <c r="T23" s="40">
        <v>30</v>
      </c>
      <c r="U23" s="6" t="s">
        <v>55</v>
      </c>
      <c r="X23" t="s">
        <v>56</v>
      </c>
      <c r="Y23">
        <v>0</v>
      </c>
      <c r="Z23">
        <v>1</v>
      </c>
      <c r="AA23" s="8">
        <v>40591</v>
      </c>
      <c r="AC23" s="7" t="s">
        <v>57</v>
      </c>
      <c r="AD23" t="s">
        <v>58</v>
      </c>
    </row>
    <row r="24" spans="1:30" x14ac:dyDescent="0.25">
      <c r="A24" t="s">
        <v>83</v>
      </c>
      <c r="B24" t="s">
        <v>84</v>
      </c>
      <c r="C24" s="26">
        <v>44757</v>
      </c>
      <c r="D24" s="16">
        <v>27747</v>
      </c>
      <c r="E24" t="s">
        <v>61</v>
      </c>
      <c r="F24" t="s">
        <v>47</v>
      </c>
      <c r="G24" s="16">
        <v>27747</v>
      </c>
      <c r="H24" s="16">
        <v>14000</v>
      </c>
      <c r="I24" s="21">
        <f t="shared" si="0"/>
        <v>50.455905142898331</v>
      </c>
      <c r="J24" s="16">
        <v>39367</v>
      </c>
      <c r="K24" s="16">
        <f>G24-36653</f>
        <v>-8906</v>
      </c>
      <c r="L24" s="16">
        <v>2714</v>
      </c>
      <c r="M24" s="31">
        <v>36.181361000000003</v>
      </c>
      <c r="N24" s="35">
        <v>160</v>
      </c>
      <c r="O24" s="40">
        <v>0.11</v>
      </c>
      <c r="P24" s="40">
        <v>0.11</v>
      </c>
      <c r="Q24" s="16">
        <f t="shared" si="1"/>
        <v>-246.14883890078096</v>
      </c>
      <c r="R24" s="16">
        <f t="shared" si="2"/>
        <v>-80963.636363636368</v>
      </c>
      <c r="S24" s="45">
        <f t="shared" si="3"/>
        <v>-1.8586693380081811</v>
      </c>
      <c r="T24" s="40">
        <v>30</v>
      </c>
      <c r="U24" s="6" t="s">
        <v>80</v>
      </c>
      <c r="X24" t="s">
        <v>81</v>
      </c>
      <c r="Y24">
        <v>0</v>
      </c>
      <c r="Z24">
        <v>1</v>
      </c>
      <c r="AA24" s="8">
        <v>37001</v>
      </c>
      <c r="AC24" s="7" t="s">
        <v>57</v>
      </c>
      <c r="AD24" t="s">
        <v>82</v>
      </c>
    </row>
    <row r="25" spans="1:30" x14ac:dyDescent="0.25">
      <c r="A25" t="s">
        <v>215</v>
      </c>
      <c r="B25" t="s">
        <v>216</v>
      </c>
      <c r="C25" s="26">
        <v>44314</v>
      </c>
      <c r="D25" s="16">
        <v>50500</v>
      </c>
      <c r="E25" t="s">
        <v>61</v>
      </c>
      <c r="F25" t="s">
        <v>47</v>
      </c>
      <c r="G25" s="16">
        <v>50500</v>
      </c>
      <c r="H25" s="16">
        <v>19400</v>
      </c>
      <c r="I25" s="21">
        <f t="shared" si="0"/>
        <v>38.415841584158414</v>
      </c>
      <c r="J25" s="16">
        <v>62091</v>
      </c>
      <c r="K25" s="16">
        <f>G25-57879</f>
        <v>-7379</v>
      </c>
      <c r="L25" s="16">
        <v>4212</v>
      </c>
      <c r="M25" s="31">
        <v>32.403703</v>
      </c>
      <c r="N25" s="35">
        <v>100</v>
      </c>
      <c r="O25" s="40">
        <v>0.08</v>
      </c>
      <c r="P25" s="40">
        <v>0.08</v>
      </c>
      <c r="Q25" s="16">
        <f t="shared" si="1"/>
        <v>-227.72088733192007</v>
      </c>
      <c r="R25" s="16">
        <f t="shared" si="2"/>
        <v>-92237.5</v>
      </c>
      <c r="S25" s="45">
        <f t="shared" si="3"/>
        <v>-2.1174816345270893</v>
      </c>
      <c r="T25" s="40">
        <v>35</v>
      </c>
      <c r="U25" s="6" t="s">
        <v>55</v>
      </c>
      <c r="X25" t="s">
        <v>56</v>
      </c>
      <c r="Y25">
        <v>0</v>
      </c>
      <c r="Z25">
        <v>1</v>
      </c>
      <c r="AA25" s="8">
        <v>37013</v>
      </c>
      <c r="AC25" s="7" t="s">
        <v>57</v>
      </c>
      <c r="AD25" t="s">
        <v>58</v>
      </c>
    </row>
    <row r="26" spans="1:30" x14ac:dyDescent="0.25">
      <c r="A26" t="s">
        <v>142</v>
      </c>
      <c r="B26" t="s">
        <v>143</v>
      </c>
      <c r="C26" s="26">
        <v>44733</v>
      </c>
      <c r="D26" s="16">
        <v>43000</v>
      </c>
      <c r="E26" t="s">
        <v>46</v>
      </c>
      <c r="F26" t="s">
        <v>47</v>
      </c>
      <c r="G26" s="16">
        <v>43000</v>
      </c>
      <c r="H26" s="16">
        <v>19300</v>
      </c>
      <c r="I26" s="21">
        <f t="shared" si="0"/>
        <v>44.883720930232556</v>
      </c>
      <c r="J26" s="16">
        <v>53213</v>
      </c>
      <c r="K26" s="16">
        <f>G26-49313</f>
        <v>-6313</v>
      </c>
      <c r="L26" s="16">
        <v>3900</v>
      </c>
      <c r="M26" s="31">
        <v>30</v>
      </c>
      <c r="N26" s="35">
        <v>100</v>
      </c>
      <c r="O26" s="40">
        <v>6.9000000000000006E-2</v>
      </c>
      <c r="P26" s="40">
        <v>6.9000000000000006E-2</v>
      </c>
      <c r="Q26" s="16">
        <f t="shared" si="1"/>
        <v>-210.43333333333334</v>
      </c>
      <c r="R26" s="16">
        <f t="shared" si="2"/>
        <v>-91492.753623188401</v>
      </c>
      <c r="S26" s="45">
        <f t="shared" si="3"/>
        <v>-2.1003846102660333</v>
      </c>
      <c r="T26" s="40">
        <v>30</v>
      </c>
      <c r="U26" s="6" t="s">
        <v>55</v>
      </c>
      <c r="X26" t="s">
        <v>56</v>
      </c>
      <c r="Y26">
        <v>0</v>
      </c>
      <c r="Z26">
        <v>1</v>
      </c>
      <c r="AA26" s="8">
        <v>37008</v>
      </c>
      <c r="AC26" s="7" t="s">
        <v>57</v>
      </c>
      <c r="AD26" t="s">
        <v>58</v>
      </c>
    </row>
    <row r="27" spans="1:30" x14ac:dyDescent="0.25">
      <c r="A27" t="s">
        <v>122</v>
      </c>
      <c r="B27" t="s">
        <v>123</v>
      </c>
      <c r="C27" s="26">
        <v>44431</v>
      </c>
      <c r="D27" s="16">
        <v>58000</v>
      </c>
      <c r="E27" t="s">
        <v>61</v>
      </c>
      <c r="F27" t="s">
        <v>47</v>
      </c>
      <c r="G27" s="16">
        <v>58000</v>
      </c>
      <c r="H27" s="16">
        <v>21200</v>
      </c>
      <c r="I27" s="21">
        <f t="shared" si="0"/>
        <v>36.551724137931032</v>
      </c>
      <c r="J27" s="16">
        <v>68102</v>
      </c>
      <c r="K27" s="16">
        <f>G27-63979</f>
        <v>-5979</v>
      </c>
      <c r="L27" s="16">
        <v>4123</v>
      </c>
      <c r="M27" s="31">
        <v>31.717931</v>
      </c>
      <c r="N27" s="35">
        <v>128.13999899999999</v>
      </c>
      <c r="O27" s="40">
        <v>7.6999999999999999E-2</v>
      </c>
      <c r="P27" s="40">
        <v>7.6999999999999999E-2</v>
      </c>
      <c r="Q27" s="16">
        <f t="shared" si="1"/>
        <v>-188.50535994923501</v>
      </c>
      <c r="R27" s="16">
        <f t="shared" si="2"/>
        <v>-77649.350649350657</v>
      </c>
      <c r="S27" s="45">
        <f t="shared" si="3"/>
        <v>-1.782583807377196</v>
      </c>
      <c r="T27" s="40">
        <v>26.17</v>
      </c>
      <c r="U27" s="6" t="s">
        <v>55</v>
      </c>
      <c r="X27" t="s">
        <v>56</v>
      </c>
      <c r="Y27">
        <v>0</v>
      </c>
      <c r="Z27">
        <v>1</v>
      </c>
      <c r="AA27" s="8">
        <v>37008</v>
      </c>
      <c r="AC27" s="7" t="s">
        <v>57</v>
      </c>
      <c r="AD27" t="s">
        <v>58</v>
      </c>
    </row>
    <row r="28" spans="1:30" x14ac:dyDescent="0.25">
      <c r="A28" t="s">
        <v>83</v>
      </c>
      <c r="B28" t="s">
        <v>84</v>
      </c>
      <c r="C28" s="26">
        <v>44651</v>
      </c>
      <c r="D28" s="16">
        <v>30000</v>
      </c>
      <c r="E28" t="s">
        <v>85</v>
      </c>
      <c r="F28" t="s">
        <v>47</v>
      </c>
      <c r="G28" s="16">
        <v>30000</v>
      </c>
      <c r="H28" s="16">
        <v>11600</v>
      </c>
      <c r="I28" s="21">
        <f t="shared" si="0"/>
        <v>38.666666666666664</v>
      </c>
      <c r="J28" s="16">
        <v>39367</v>
      </c>
      <c r="K28" s="16">
        <f>G28-36653</f>
        <v>-6653</v>
      </c>
      <c r="L28" s="16">
        <v>2714</v>
      </c>
      <c r="M28" s="31">
        <v>36.181361000000003</v>
      </c>
      <c r="N28" s="35">
        <v>160</v>
      </c>
      <c r="O28" s="40">
        <v>0.11</v>
      </c>
      <c r="P28" s="40">
        <v>0.11</v>
      </c>
      <c r="Q28" s="16">
        <f t="shared" si="1"/>
        <v>-183.87920786064404</v>
      </c>
      <c r="R28" s="16">
        <f t="shared" si="2"/>
        <v>-60481.818181818184</v>
      </c>
      <c r="S28" s="45">
        <f t="shared" si="3"/>
        <v>-1.3884714917772769</v>
      </c>
      <c r="T28" s="40">
        <v>30</v>
      </c>
      <c r="U28" s="6" t="s">
        <v>80</v>
      </c>
      <c r="X28" t="s">
        <v>81</v>
      </c>
      <c r="Y28">
        <v>0</v>
      </c>
      <c r="Z28">
        <v>1</v>
      </c>
      <c r="AA28" s="8">
        <v>37001</v>
      </c>
      <c r="AC28" s="7" t="s">
        <v>57</v>
      </c>
      <c r="AD28" t="s">
        <v>82</v>
      </c>
    </row>
    <row r="29" spans="1:30" x14ac:dyDescent="0.25">
      <c r="A29" t="s">
        <v>93</v>
      </c>
      <c r="B29" t="s">
        <v>94</v>
      </c>
      <c r="C29" s="26">
        <v>44960</v>
      </c>
      <c r="D29" s="16">
        <v>19000</v>
      </c>
      <c r="E29" t="s">
        <v>46</v>
      </c>
      <c r="F29" t="s">
        <v>47</v>
      </c>
      <c r="G29" s="16">
        <v>19000</v>
      </c>
      <c r="H29" s="16">
        <v>10400</v>
      </c>
      <c r="I29" s="21">
        <f t="shared" si="0"/>
        <v>54.736842105263165</v>
      </c>
      <c r="J29" s="16">
        <v>28011</v>
      </c>
      <c r="K29" s="16">
        <f>G29-23921</f>
        <v>-4921</v>
      </c>
      <c r="L29" s="16">
        <v>4090</v>
      </c>
      <c r="M29" s="31">
        <v>31.464265000000001</v>
      </c>
      <c r="N29" s="35">
        <v>110</v>
      </c>
      <c r="O29" s="40">
        <v>7.5999999999999998E-2</v>
      </c>
      <c r="P29" s="40">
        <v>7.5999999999999998E-2</v>
      </c>
      <c r="Q29" s="16">
        <f t="shared" si="1"/>
        <v>-156.39964893506968</v>
      </c>
      <c r="R29" s="16">
        <f t="shared" si="2"/>
        <v>-64750</v>
      </c>
      <c r="S29" s="45">
        <f t="shared" si="3"/>
        <v>-1.486455463728191</v>
      </c>
      <c r="T29" s="40">
        <v>30</v>
      </c>
      <c r="U29" s="6" t="s">
        <v>55</v>
      </c>
      <c r="X29" t="s">
        <v>56</v>
      </c>
      <c r="Y29">
        <v>0</v>
      </c>
      <c r="Z29">
        <v>1</v>
      </c>
      <c r="AA29" s="8">
        <v>40583</v>
      </c>
      <c r="AC29" s="7" t="s">
        <v>57</v>
      </c>
      <c r="AD29" t="s">
        <v>58</v>
      </c>
    </row>
    <row r="30" spans="1:30" x14ac:dyDescent="0.25">
      <c r="A30" t="s">
        <v>124</v>
      </c>
      <c r="B30" t="s">
        <v>125</v>
      </c>
      <c r="C30" s="26">
        <v>44362</v>
      </c>
      <c r="D30" s="16">
        <v>41000</v>
      </c>
      <c r="E30" t="s">
        <v>46</v>
      </c>
      <c r="F30" t="s">
        <v>47</v>
      </c>
      <c r="G30" s="16">
        <v>41000</v>
      </c>
      <c r="H30" s="16">
        <v>15600</v>
      </c>
      <c r="I30" s="21">
        <f t="shared" si="0"/>
        <v>38.048780487804876</v>
      </c>
      <c r="J30" s="16">
        <v>49572</v>
      </c>
      <c r="K30" s="16">
        <f>G30-45672</f>
        <v>-4672</v>
      </c>
      <c r="L30" s="16">
        <v>3900</v>
      </c>
      <c r="M30" s="31">
        <v>30</v>
      </c>
      <c r="N30" s="35">
        <v>100</v>
      </c>
      <c r="O30" s="40">
        <v>6.9000000000000006E-2</v>
      </c>
      <c r="P30" s="40">
        <v>6.9000000000000006E-2</v>
      </c>
      <c r="Q30" s="16">
        <f t="shared" si="1"/>
        <v>-155.73333333333332</v>
      </c>
      <c r="R30" s="16">
        <f t="shared" si="2"/>
        <v>-67710.144927536225</v>
      </c>
      <c r="S30" s="45">
        <f t="shared" si="3"/>
        <v>-1.5544110405770484</v>
      </c>
      <c r="T30" s="40">
        <v>30</v>
      </c>
      <c r="U30" s="6" t="s">
        <v>55</v>
      </c>
      <c r="X30" t="s">
        <v>56</v>
      </c>
      <c r="Y30">
        <v>0</v>
      </c>
      <c r="Z30">
        <v>1</v>
      </c>
      <c r="AA30" s="8">
        <v>40847</v>
      </c>
      <c r="AC30" s="7" t="s">
        <v>57</v>
      </c>
      <c r="AD30" t="s">
        <v>58</v>
      </c>
    </row>
    <row r="31" spans="1:30" x14ac:dyDescent="0.25">
      <c r="A31" t="s">
        <v>249</v>
      </c>
      <c r="B31" t="s">
        <v>250</v>
      </c>
      <c r="C31" s="26">
        <v>44741</v>
      </c>
      <c r="D31" s="16">
        <v>53000</v>
      </c>
      <c r="E31" t="s">
        <v>61</v>
      </c>
      <c r="F31" t="s">
        <v>251</v>
      </c>
      <c r="G31" s="16">
        <v>53000</v>
      </c>
      <c r="H31" s="16">
        <v>21600</v>
      </c>
      <c r="I31" s="21">
        <f t="shared" si="0"/>
        <v>40.754716981132077</v>
      </c>
      <c r="J31" s="16">
        <v>60803</v>
      </c>
      <c r="K31" s="16">
        <f>G31-56775</f>
        <v>-3775</v>
      </c>
      <c r="L31" s="16">
        <v>4028</v>
      </c>
      <c r="M31" s="31">
        <v>30.983867</v>
      </c>
      <c r="N31" s="35">
        <v>100</v>
      </c>
      <c r="O31" s="40">
        <v>7.2999999999999995E-2</v>
      </c>
      <c r="P31" s="40">
        <v>7.2999999999999995E-2</v>
      </c>
      <c r="Q31" s="16">
        <f t="shared" si="1"/>
        <v>-121.83760019367499</v>
      </c>
      <c r="R31" s="16">
        <f t="shared" si="2"/>
        <v>-51712.32876712329</v>
      </c>
      <c r="S31" s="45">
        <f t="shared" si="3"/>
        <v>-1.1871517164169718</v>
      </c>
      <c r="T31" s="40">
        <v>32</v>
      </c>
      <c r="U31" s="6" t="s">
        <v>55</v>
      </c>
      <c r="X31" t="s">
        <v>56</v>
      </c>
      <c r="Y31">
        <v>0</v>
      </c>
      <c r="Z31">
        <v>1</v>
      </c>
      <c r="AA31" s="8">
        <v>37015</v>
      </c>
      <c r="AC31" s="7" t="s">
        <v>57</v>
      </c>
      <c r="AD31" t="s">
        <v>58</v>
      </c>
    </row>
    <row r="32" spans="1:30" x14ac:dyDescent="0.25">
      <c r="A32" t="s">
        <v>321</v>
      </c>
      <c r="B32" t="s">
        <v>322</v>
      </c>
      <c r="C32" s="26">
        <v>44753</v>
      </c>
      <c r="D32" s="16">
        <v>50000</v>
      </c>
      <c r="E32" t="s">
        <v>46</v>
      </c>
      <c r="F32" t="s">
        <v>47</v>
      </c>
      <c r="G32" s="16">
        <v>50000</v>
      </c>
      <c r="H32" s="16">
        <v>22500</v>
      </c>
      <c r="I32" s="21">
        <f t="shared" si="0"/>
        <v>45</v>
      </c>
      <c r="J32" s="16">
        <v>61991</v>
      </c>
      <c r="K32" s="16">
        <f>G32-55603</f>
        <v>-5603</v>
      </c>
      <c r="L32" s="16">
        <v>6388</v>
      </c>
      <c r="M32" s="31">
        <v>53.229503000000001</v>
      </c>
      <c r="N32" s="35">
        <v>104.94000200000001</v>
      </c>
      <c r="O32" s="40">
        <v>0.14499999999999999</v>
      </c>
      <c r="P32" s="40">
        <v>0.14499999999999999</v>
      </c>
      <c r="Q32" s="16">
        <f t="shared" si="1"/>
        <v>-105.26117442802349</v>
      </c>
      <c r="R32" s="16">
        <f t="shared" si="2"/>
        <v>-38641.379310344833</v>
      </c>
      <c r="S32" s="45">
        <f t="shared" si="3"/>
        <v>-0.88708400620626338</v>
      </c>
      <c r="T32" s="40">
        <v>60</v>
      </c>
      <c r="U32" s="6" t="s">
        <v>323</v>
      </c>
      <c r="X32" t="s">
        <v>324</v>
      </c>
      <c r="Y32">
        <v>0</v>
      </c>
      <c r="Z32">
        <v>1</v>
      </c>
      <c r="AA32" s="8">
        <v>37027</v>
      </c>
      <c r="AC32" s="7" t="s">
        <v>57</v>
      </c>
      <c r="AD32" t="s">
        <v>58</v>
      </c>
    </row>
    <row r="33" spans="1:30" x14ac:dyDescent="0.25">
      <c r="A33" t="s">
        <v>264</v>
      </c>
      <c r="B33" t="s">
        <v>265</v>
      </c>
      <c r="C33" s="26">
        <v>44350</v>
      </c>
      <c r="D33" s="16">
        <v>29900</v>
      </c>
      <c r="E33" t="s">
        <v>46</v>
      </c>
      <c r="F33" t="s">
        <v>47</v>
      </c>
      <c r="G33" s="16">
        <v>29900</v>
      </c>
      <c r="H33" s="16">
        <v>11300</v>
      </c>
      <c r="I33" s="21">
        <f t="shared" si="0"/>
        <v>37.792642140468232</v>
      </c>
      <c r="J33" s="16">
        <v>35605</v>
      </c>
      <c r="K33" s="16">
        <f>G33-32389</f>
        <v>-2489</v>
      </c>
      <c r="L33" s="16">
        <v>3216</v>
      </c>
      <c r="M33" s="31">
        <v>24.74015</v>
      </c>
      <c r="N33" s="35">
        <v>81.610000999999997</v>
      </c>
      <c r="O33" s="40">
        <v>4.7E-2</v>
      </c>
      <c r="P33" s="40">
        <v>4.7E-2</v>
      </c>
      <c r="Q33" s="16">
        <f t="shared" si="1"/>
        <v>-100.60569560006709</v>
      </c>
      <c r="R33" s="16">
        <f t="shared" si="2"/>
        <v>-52957.446808510635</v>
      </c>
      <c r="S33" s="45">
        <f t="shared" si="3"/>
        <v>-1.2157356934919796</v>
      </c>
      <c r="T33" s="40">
        <v>25</v>
      </c>
      <c r="U33" s="6" t="s">
        <v>55</v>
      </c>
      <c r="X33" t="s">
        <v>56</v>
      </c>
      <c r="Y33">
        <v>0</v>
      </c>
      <c r="Z33">
        <v>1</v>
      </c>
      <c r="AA33" s="8">
        <v>40583</v>
      </c>
      <c r="AC33" s="7" t="s">
        <v>57</v>
      </c>
      <c r="AD33" t="s">
        <v>58</v>
      </c>
    </row>
    <row r="34" spans="1:30" x14ac:dyDescent="0.25">
      <c r="A34" t="s">
        <v>296</v>
      </c>
      <c r="B34" t="s">
        <v>297</v>
      </c>
      <c r="C34" s="26">
        <v>44697</v>
      </c>
      <c r="D34" s="16">
        <v>85000</v>
      </c>
      <c r="E34" t="s">
        <v>46</v>
      </c>
      <c r="F34" t="s">
        <v>47</v>
      </c>
      <c r="G34" s="16">
        <v>85000</v>
      </c>
      <c r="H34" s="16">
        <v>34600</v>
      </c>
      <c r="I34" s="21">
        <f t="shared" ref="I34:I65" si="4">H34/G34*100</f>
        <v>40.705882352941174</v>
      </c>
      <c r="J34" s="16">
        <v>95294</v>
      </c>
      <c r="K34" s="16">
        <f>G34-89128</f>
        <v>-4128</v>
      </c>
      <c r="L34" s="16">
        <v>6166</v>
      </c>
      <c r="M34" s="31">
        <v>47.434165</v>
      </c>
      <c r="N34" s="35">
        <v>100</v>
      </c>
      <c r="O34" s="40">
        <v>0.17199999999999999</v>
      </c>
      <c r="P34" s="40">
        <v>0.17199999999999999</v>
      </c>
      <c r="Q34" s="16">
        <f t="shared" ref="Q34:Q65" si="5">K34/M34</f>
        <v>-87.025881029000928</v>
      </c>
      <c r="R34" s="16">
        <f t="shared" ref="R34:R65" si="6">K34/O34</f>
        <v>-24000.000000000004</v>
      </c>
      <c r="S34" s="45">
        <f t="shared" ref="S34:S65" si="7">K34/O34/43560</f>
        <v>-0.55096418732782382</v>
      </c>
      <c r="T34" s="40">
        <v>75</v>
      </c>
      <c r="U34" s="6" t="s">
        <v>55</v>
      </c>
      <c r="X34" t="s">
        <v>56</v>
      </c>
      <c r="Y34">
        <v>0</v>
      </c>
      <c r="Z34">
        <v>0</v>
      </c>
      <c r="AA34" t="s">
        <v>50</v>
      </c>
      <c r="AC34" s="7" t="s">
        <v>57</v>
      </c>
      <c r="AD34" t="s">
        <v>58</v>
      </c>
    </row>
    <row r="35" spans="1:30" x14ac:dyDescent="0.25">
      <c r="A35" t="s">
        <v>76</v>
      </c>
      <c r="B35" t="s">
        <v>77</v>
      </c>
      <c r="C35" s="26">
        <v>44839</v>
      </c>
      <c r="D35" s="16">
        <v>47000</v>
      </c>
      <c r="E35" t="s">
        <v>61</v>
      </c>
      <c r="F35" t="s">
        <v>47</v>
      </c>
      <c r="G35" s="16">
        <v>47000</v>
      </c>
      <c r="H35" s="16">
        <v>19500</v>
      </c>
      <c r="I35" s="21">
        <f t="shared" si="4"/>
        <v>41.48936170212766</v>
      </c>
      <c r="J35" s="16">
        <v>53890</v>
      </c>
      <c r="K35" s="16">
        <f>G35-47618</f>
        <v>-618</v>
      </c>
      <c r="L35" s="16">
        <v>6272</v>
      </c>
      <c r="M35" s="31">
        <v>48.248159000000001</v>
      </c>
      <c r="N35" s="35">
        <v>87.040001000000004</v>
      </c>
      <c r="O35" s="40">
        <v>0.17799999999999999</v>
      </c>
      <c r="P35" s="40">
        <v>0.17799999999999999</v>
      </c>
      <c r="Q35" s="16">
        <f t="shared" si="5"/>
        <v>-12.808778880039753</v>
      </c>
      <c r="R35" s="16">
        <f t="shared" si="6"/>
        <v>-3471.9101123595506</v>
      </c>
      <c r="S35" s="45">
        <f t="shared" si="7"/>
        <v>-7.9704088897143033E-2</v>
      </c>
      <c r="T35" s="40">
        <v>89.15</v>
      </c>
      <c r="U35" s="6" t="s">
        <v>55</v>
      </c>
      <c r="X35" t="s">
        <v>56</v>
      </c>
      <c r="Y35">
        <v>0</v>
      </c>
      <c r="Z35">
        <v>1</v>
      </c>
      <c r="AA35" s="8">
        <v>37006</v>
      </c>
      <c r="AC35" s="7" t="s">
        <v>57</v>
      </c>
      <c r="AD35" t="s">
        <v>58</v>
      </c>
    </row>
    <row r="36" spans="1:30" x14ac:dyDescent="0.25">
      <c r="A36" t="s">
        <v>120</v>
      </c>
      <c r="B36" t="s">
        <v>121</v>
      </c>
      <c r="C36" s="26">
        <v>44414</v>
      </c>
      <c r="D36" s="16">
        <v>66000</v>
      </c>
      <c r="E36" t="s">
        <v>46</v>
      </c>
      <c r="F36" t="s">
        <v>47</v>
      </c>
      <c r="G36" s="16">
        <v>66000</v>
      </c>
      <c r="H36" s="16">
        <v>21100</v>
      </c>
      <c r="I36" s="21">
        <f t="shared" si="4"/>
        <v>31.969696969696969</v>
      </c>
      <c r="J36" s="16">
        <v>70392</v>
      </c>
      <c r="K36" s="16">
        <f>G36-66218</f>
        <v>-218</v>
      </c>
      <c r="L36" s="16">
        <v>4174</v>
      </c>
      <c r="M36" s="31">
        <v>32.108472999999996</v>
      </c>
      <c r="N36" s="35">
        <v>112.525002</v>
      </c>
      <c r="O36" s="40">
        <v>7.9000000000000001E-2</v>
      </c>
      <c r="P36" s="40">
        <v>7.9000000000000001E-2</v>
      </c>
      <c r="Q36" s="16">
        <f t="shared" si="5"/>
        <v>-6.7894851306071153</v>
      </c>
      <c r="R36" s="16">
        <f t="shared" si="6"/>
        <v>-2759.493670886076</v>
      </c>
      <c r="S36" s="45">
        <f t="shared" si="7"/>
        <v>-6.3349257825667499E-2</v>
      </c>
      <c r="T36" s="40">
        <v>30.54</v>
      </c>
      <c r="U36" s="6" t="s">
        <v>55</v>
      </c>
      <c r="X36" t="s">
        <v>56</v>
      </c>
      <c r="Y36">
        <v>0</v>
      </c>
      <c r="Z36">
        <v>1</v>
      </c>
      <c r="AA36" s="8">
        <v>40583</v>
      </c>
      <c r="AC36" s="7" t="s">
        <v>57</v>
      </c>
      <c r="AD36" t="s">
        <v>58</v>
      </c>
    </row>
    <row r="37" spans="1:30" x14ac:dyDescent="0.25">
      <c r="A37" t="s">
        <v>327</v>
      </c>
      <c r="B37" t="s">
        <v>328</v>
      </c>
      <c r="C37" s="26">
        <v>44887</v>
      </c>
      <c r="D37" s="16">
        <v>40000</v>
      </c>
      <c r="E37" t="s">
        <v>262</v>
      </c>
      <c r="F37" t="s">
        <v>47</v>
      </c>
      <c r="G37" s="16">
        <v>40000</v>
      </c>
      <c r="H37" s="16">
        <v>23300</v>
      </c>
      <c r="I37" s="21">
        <f t="shared" si="4"/>
        <v>58.25</v>
      </c>
      <c r="J37" s="16">
        <v>50133</v>
      </c>
      <c r="K37" s="16">
        <f>G37-39374</f>
        <v>626</v>
      </c>
      <c r="L37" s="16">
        <v>10759</v>
      </c>
      <c r="M37" s="31">
        <v>41.19</v>
      </c>
      <c r="N37" s="35">
        <v>100</v>
      </c>
      <c r="O37" s="40">
        <v>9.5000000000000001E-2</v>
      </c>
      <c r="P37" s="40">
        <v>9.5000000000000001E-2</v>
      </c>
      <c r="Q37" s="16">
        <f t="shared" si="5"/>
        <v>15.197863559116291</v>
      </c>
      <c r="R37" s="16">
        <f t="shared" si="6"/>
        <v>6589.4736842105258</v>
      </c>
      <c r="S37" s="45">
        <f t="shared" si="7"/>
        <v>0.15127350055579719</v>
      </c>
      <c r="T37" s="40">
        <v>41.19</v>
      </c>
      <c r="U37" s="6" t="s">
        <v>72</v>
      </c>
      <c r="X37" t="s">
        <v>49</v>
      </c>
      <c r="Y37">
        <v>0</v>
      </c>
      <c r="Z37">
        <v>1</v>
      </c>
      <c r="AA37" t="s">
        <v>50</v>
      </c>
      <c r="AB37" t="s">
        <v>329</v>
      </c>
      <c r="AC37" s="7" t="s">
        <v>52</v>
      </c>
    </row>
    <row r="38" spans="1:30" x14ac:dyDescent="0.25">
      <c r="A38" t="s">
        <v>144</v>
      </c>
      <c r="B38" t="s">
        <v>145</v>
      </c>
      <c r="C38" s="26">
        <v>44749</v>
      </c>
      <c r="D38" s="16">
        <v>50000</v>
      </c>
      <c r="E38" t="s">
        <v>85</v>
      </c>
      <c r="F38" t="s">
        <v>47</v>
      </c>
      <c r="G38" s="16">
        <v>50000</v>
      </c>
      <c r="H38" s="16">
        <v>21200</v>
      </c>
      <c r="I38" s="21">
        <f t="shared" si="4"/>
        <v>42.4</v>
      </c>
      <c r="J38" s="16">
        <v>56298</v>
      </c>
      <c r="K38" s="16">
        <f>G38-47903</f>
        <v>2097</v>
      </c>
      <c r="L38" s="16">
        <v>8395</v>
      </c>
      <c r="M38" s="31">
        <v>64.575536999999997</v>
      </c>
      <c r="N38" s="35">
        <v>100</v>
      </c>
      <c r="O38" s="40">
        <v>0.31900000000000001</v>
      </c>
      <c r="P38" s="40">
        <v>0.31900000000000001</v>
      </c>
      <c r="Q38" s="16">
        <f t="shared" si="5"/>
        <v>32.47359754824803</v>
      </c>
      <c r="R38" s="16">
        <f t="shared" si="6"/>
        <v>6573.6677115987459</v>
      </c>
      <c r="S38" s="45">
        <f t="shared" si="7"/>
        <v>0.15091064535350657</v>
      </c>
      <c r="T38" s="40">
        <v>139</v>
      </c>
      <c r="U38" s="6" t="s">
        <v>55</v>
      </c>
      <c r="X38" t="s">
        <v>56</v>
      </c>
      <c r="Y38">
        <v>0</v>
      </c>
      <c r="Z38">
        <v>1</v>
      </c>
      <c r="AA38" s="8">
        <v>40828</v>
      </c>
      <c r="AC38" s="7" t="s">
        <v>57</v>
      </c>
      <c r="AD38" t="s">
        <v>58</v>
      </c>
    </row>
    <row r="39" spans="1:30" x14ac:dyDescent="0.25">
      <c r="A39" t="s">
        <v>107</v>
      </c>
      <c r="B39" t="s">
        <v>108</v>
      </c>
      <c r="C39" s="26">
        <v>44348</v>
      </c>
      <c r="D39" s="16">
        <v>75000</v>
      </c>
      <c r="E39" t="s">
        <v>46</v>
      </c>
      <c r="F39" t="s">
        <v>47</v>
      </c>
      <c r="G39" s="16">
        <v>75000</v>
      </c>
      <c r="H39" s="16">
        <v>24300</v>
      </c>
      <c r="I39" s="21">
        <f t="shared" si="4"/>
        <v>32.4</v>
      </c>
      <c r="J39" s="16">
        <v>78327</v>
      </c>
      <c r="K39" s="16">
        <f>G39-73874</f>
        <v>1126</v>
      </c>
      <c r="L39" s="16">
        <v>4453</v>
      </c>
      <c r="M39" s="31">
        <v>34.256093999999997</v>
      </c>
      <c r="N39" s="35">
        <v>111.760002</v>
      </c>
      <c r="O39" s="40">
        <v>0.09</v>
      </c>
      <c r="P39" s="40">
        <v>0.09</v>
      </c>
      <c r="Q39" s="16">
        <f t="shared" si="5"/>
        <v>32.870063936653139</v>
      </c>
      <c r="R39" s="16">
        <f t="shared" si="6"/>
        <v>12511.111111111111</v>
      </c>
      <c r="S39" s="45">
        <f t="shared" si="7"/>
        <v>0.28721559024589327</v>
      </c>
      <c r="T39" s="40">
        <v>35</v>
      </c>
      <c r="U39" s="6" t="s">
        <v>55</v>
      </c>
      <c r="X39" t="s">
        <v>56</v>
      </c>
      <c r="Y39">
        <v>0</v>
      </c>
      <c r="Z39">
        <v>1</v>
      </c>
      <c r="AA39" s="8">
        <v>40583</v>
      </c>
      <c r="AC39" s="7" t="s">
        <v>57</v>
      </c>
      <c r="AD39" t="s">
        <v>58</v>
      </c>
    </row>
    <row r="40" spans="1:30" x14ac:dyDescent="0.25">
      <c r="A40" t="s">
        <v>344</v>
      </c>
      <c r="B40" t="s">
        <v>345</v>
      </c>
      <c r="C40" s="26">
        <v>44700</v>
      </c>
      <c r="D40" s="16">
        <v>40000</v>
      </c>
      <c r="E40" t="s">
        <v>46</v>
      </c>
      <c r="F40" t="s">
        <v>47</v>
      </c>
      <c r="G40" s="16">
        <v>40000</v>
      </c>
      <c r="H40" s="16">
        <v>15500</v>
      </c>
      <c r="I40" s="21">
        <f t="shared" si="4"/>
        <v>38.75</v>
      </c>
      <c r="J40" s="16">
        <v>43218</v>
      </c>
      <c r="K40" s="16">
        <f>G40-38495</f>
        <v>1505</v>
      </c>
      <c r="L40" s="16">
        <v>4723</v>
      </c>
      <c r="M40" s="31">
        <v>36.331803999999998</v>
      </c>
      <c r="N40" s="35">
        <v>110</v>
      </c>
      <c r="O40" s="40">
        <v>0.10100000000000001</v>
      </c>
      <c r="P40" s="40">
        <v>0.10100000000000001</v>
      </c>
      <c r="Q40" s="16">
        <f t="shared" si="5"/>
        <v>41.423761946970764</v>
      </c>
      <c r="R40" s="16">
        <f t="shared" si="6"/>
        <v>14900.990099009899</v>
      </c>
      <c r="S40" s="45">
        <f t="shared" si="7"/>
        <v>0.34207966251170568</v>
      </c>
      <c r="T40" s="40">
        <v>40</v>
      </c>
      <c r="U40" s="6" t="s">
        <v>55</v>
      </c>
      <c r="X40" t="s">
        <v>56</v>
      </c>
      <c r="Y40">
        <v>0</v>
      </c>
      <c r="Z40">
        <v>1</v>
      </c>
      <c r="AA40" s="8">
        <v>40890</v>
      </c>
      <c r="AC40" s="7" t="s">
        <v>57</v>
      </c>
      <c r="AD40" t="s">
        <v>58</v>
      </c>
    </row>
    <row r="41" spans="1:30" x14ac:dyDescent="0.25">
      <c r="A41" t="s">
        <v>213</v>
      </c>
      <c r="B41" t="s">
        <v>214</v>
      </c>
      <c r="C41" s="26">
        <v>44323</v>
      </c>
      <c r="D41" s="16">
        <v>70000</v>
      </c>
      <c r="E41" t="s">
        <v>46</v>
      </c>
      <c r="F41" t="s">
        <v>47</v>
      </c>
      <c r="G41" s="16">
        <v>70000</v>
      </c>
      <c r="H41" s="16">
        <v>22900</v>
      </c>
      <c r="I41" s="21">
        <f t="shared" si="4"/>
        <v>32.714285714285715</v>
      </c>
      <c r="J41" s="16">
        <v>72574</v>
      </c>
      <c r="K41" s="16">
        <f>G41-68674</f>
        <v>1326</v>
      </c>
      <c r="L41" s="16">
        <v>3900</v>
      </c>
      <c r="M41" s="31">
        <v>30</v>
      </c>
      <c r="N41" s="35">
        <v>100</v>
      </c>
      <c r="O41" s="40">
        <v>6.9000000000000006E-2</v>
      </c>
      <c r="P41" s="40">
        <v>6.9000000000000006E-2</v>
      </c>
      <c r="Q41" s="16">
        <f t="shared" si="5"/>
        <v>44.2</v>
      </c>
      <c r="R41" s="16">
        <f t="shared" si="6"/>
        <v>19217.391304347824</v>
      </c>
      <c r="S41" s="45">
        <f t="shared" si="7"/>
        <v>0.44117059927336605</v>
      </c>
      <c r="T41" s="40">
        <v>30</v>
      </c>
      <c r="U41" s="6" t="s">
        <v>55</v>
      </c>
      <c r="X41" t="s">
        <v>56</v>
      </c>
      <c r="Y41">
        <v>0</v>
      </c>
      <c r="Z41">
        <v>1</v>
      </c>
      <c r="AA41" s="8">
        <v>37012</v>
      </c>
      <c r="AC41" s="7" t="s">
        <v>57</v>
      </c>
      <c r="AD41" t="s">
        <v>58</v>
      </c>
    </row>
    <row r="42" spans="1:30" x14ac:dyDescent="0.25">
      <c r="A42" t="s">
        <v>155</v>
      </c>
      <c r="B42" t="s">
        <v>156</v>
      </c>
      <c r="C42" s="26">
        <v>44442</v>
      </c>
      <c r="D42" s="16">
        <v>35000</v>
      </c>
      <c r="E42" t="s">
        <v>46</v>
      </c>
      <c r="F42" t="s">
        <v>47</v>
      </c>
      <c r="G42" s="16">
        <v>35000</v>
      </c>
      <c r="H42" s="16">
        <v>11300</v>
      </c>
      <c r="I42" s="21">
        <f t="shared" si="4"/>
        <v>32.285714285714285</v>
      </c>
      <c r="J42" s="16">
        <v>37364</v>
      </c>
      <c r="K42" s="16">
        <f>G42-33464</f>
        <v>1536</v>
      </c>
      <c r="L42" s="16">
        <v>3900</v>
      </c>
      <c r="M42" s="31">
        <v>30</v>
      </c>
      <c r="N42" s="35">
        <v>100</v>
      </c>
      <c r="O42" s="40">
        <v>6.9000000000000006E-2</v>
      </c>
      <c r="P42" s="40">
        <v>6.9000000000000006E-2</v>
      </c>
      <c r="Q42" s="16">
        <f t="shared" si="5"/>
        <v>51.2</v>
      </c>
      <c r="R42" s="16">
        <f t="shared" si="6"/>
        <v>22260.869565217388</v>
      </c>
      <c r="S42" s="45">
        <f t="shared" si="7"/>
        <v>0.51103924621711172</v>
      </c>
      <c r="T42" s="40">
        <v>30</v>
      </c>
      <c r="U42" s="6" t="s">
        <v>55</v>
      </c>
      <c r="X42" t="s">
        <v>56</v>
      </c>
      <c r="Y42">
        <v>0</v>
      </c>
      <c r="Z42">
        <v>1</v>
      </c>
      <c r="AA42" s="8">
        <v>40583</v>
      </c>
      <c r="AC42" s="7" t="s">
        <v>57</v>
      </c>
      <c r="AD42" t="s">
        <v>58</v>
      </c>
    </row>
    <row r="43" spans="1:30" x14ac:dyDescent="0.25">
      <c r="A43" t="s">
        <v>101</v>
      </c>
      <c r="B43" t="s">
        <v>102</v>
      </c>
      <c r="C43" s="26">
        <v>44589</v>
      </c>
      <c r="D43" s="16">
        <v>70000</v>
      </c>
      <c r="E43" t="s">
        <v>61</v>
      </c>
      <c r="F43" t="s">
        <v>47</v>
      </c>
      <c r="G43" s="16">
        <v>70000</v>
      </c>
      <c r="H43" s="16">
        <v>22100</v>
      </c>
      <c r="I43" s="21">
        <f t="shared" si="4"/>
        <v>31.571428571428573</v>
      </c>
      <c r="J43" s="16">
        <v>72219</v>
      </c>
      <c r="K43" s="16">
        <f>G43-68166</f>
        <v>1834</v>
      </c>
      <c r="L43" s="16">
        <v>4053</v>
      </c>
      <c r="M43" s="31">
        <v>31.176915000000001</v>
      </c>
      <c r="N43" s="35">
        <v>108</v>
      </c>
      <c r="O43" s="40">
        <v>7.3999999999999996E-2</v>
      </c>
      <c r="P43" s="40">
        <v>7.3999999999999996E-2</v>
      </c>
      <c r="Q43" s="16">
        <f t="shared" si="5"/>
        <v>58.825576552394615</v>
      </c>
      <c r="R43" s="16">
        <f t="shared" si="6"/>
        <v>24783.783783783783</v>
      </c>
      <c r="S43" s="45">
        <f t="shared" si="7"/>
        <v>0.5689573871392053</v>
      </c>
      <c r="T43" s="40">
        <v>30</v>
      </c>
      <c r="U43" s="6" t="s">
        <v>55</v>
      </c>
      <c r="X43" t="s">
        <v>56</v>
      </c>
      <c r="Y43">
        <v>0</v>
      </c>
      <c r="Z43">
        <v>1</v>
      </c>
      <c r="AA43" s="8">
        <v>37008</v>
      </c>
      <c r="AC43" s="7" t="s">
        <v>57</v>
      </c>
      <c r="AD43" t="s">
        <v>58</v>
      </c>
    </row>
    <row r="44" spans="1:30" x14ac:dyDescent="0.25">
      <c r="A44" t="s">
        <v>109</v>
      </c>
      <c r="B44" t="s">
        <v>110</v>
      </c>
      <c r="C44" s="26">
        <v>44805</v>
      </c>
      <c r="D44" s="16">
        <v>43875</v>
      </c>
      <c r="E44" t="s">
        <v>46</v>
      </c>
      <c r="F44" t="s">
        <v>47</v>
      </c>
      <c r="G44" s="16">
        <v>43875</v>
      </c>
      <c r="H44" s="16">
        <v>16800</v>
      </c>
      <c r="I44" s="21">
        <f t="shared" si="4"/>
        <v>38.290598290598297</v>
      </c>
      <c r="J44" s="16">
        <v>45732</v>
      </c>
      <c r="K44" s="16">
        <f>G44-41642</f>
        <v>2233</v>
      </c>
      <c r="L44" s="16">
        <v>4090</v>
      </c>
      <c r="M44" s="31">
        <v>31.464265000000001</v>
      </c>
      <c r="N44" s="35">
        <v>110</v>
      </c>
      <c r="O44" s="40">
        <v>7.5999999999999998E-2</v>
      </c>
      <c r="P44" s="40">
        <v>7.5999999999999998E-2</v>
      </c>
      <c r="Q44" s="16">
        <f t="shared" si="5"/>
        <v>70.969399730138292</v>
      </c>
      <c r="R44" s="16">
        <f t="shared" si="6"/>
        <v>29381.578947368424</v>
      </c>
      <c r="S44" s="45">
        <f t="shared" si="7"/>
        <v>0.67450824029771406</v>
      </c>
      <c r="T44" s="40">
        <v>30</v>
      </c>
      <c r="U44" s="6" t="s">
        <v>55</v>
      </c>
      <c r="X44" t="s">
        <v>56</v>
      </c>
      <c r="Y44">
        <v>0</v>
      </c>
      <c r="Z44">
        <v>1</v>
      </c>
      <c r="AA44" s="8">
        <v>37015</v>
      </c>
      <c r="AC44" s="7" t="s">
        <v>57</v>
      </c>
      <c r="AD44" t="s">
        <v>58</v>
      </c>
    </row>
    <row r="45" spans="1:30" x14ac:dyDescent="0.25">
      <c r="A45" t="s">
        <v>342</v>
      </c>
      <c r="B45" t="s">
        <v>343</v>
      </c>
      <c r="C45" s="26">
        <v>44335</v>
      </c>
      <c r="D45" s="16">
        <v>55000</v>
      </c>
      <c r="E45" t="s">
        <v>46</v>
      </c>
      <c r="F45" t="s">
        <v>47</v>
      </c>
      <c r="G45" s="16">
        <v>55000</v>
      </c>
      <c r="H45" s="16">
        <v>17800</v>
      </c>
      <c r="I45" s="21">
        <f t="shared" si="4"/>
        <v>32.36363636363636</v>
      </c>
      <c r="J45" s="16">
        <v>56580</v>
      </c>
      <c r="K45" s="16">
        <f>G45-51042</f>
        <v>3958</v>
      </c>
      <c r="L45" s="16">
        <v>5538</v>
      </c>
      <c r="M45" s="31">
        <v>42.602817000000002</v>
      </c>
      <c r="N45" s="35">
        <v>110</v>
      </c>
      <c r="O45" s="40">
        <v>0.13900000000000001</v>
      </c>
      <c r="P45" s="40">
        <v>0.13900000000000001</v>
      </c>
      <c r="Q45" s="16">
        <f t="shared" si="5"/>
        <v>92.904654638213245</v>
      </c>
      <c r="R45" s="16">
        <f t="shared" si="6"/>
        <v>28474.820143884888</v>
      </c>
      <c r="S45" s="45">
        <f t="shared" si="7"/>
        <v>0.65369192249506169</v>
      </c>
      <c r="T45" s="40">
        <v>55</v>
      </c>
      <c r="U45" s="6" t="s">
        <v>55</v>
      </c>
      <c r="X45" t="s">
        <v>56</v>
      </c>
      <c r="Y45">
        <v>0</v>
      </c>
      <c r="Z45">
        <v>1</v>
      </c>
      <c r="AA45" s="8">
        <v>37033</v>
      </c>
      <c r="AC45" s="7" t="s">
        <v>57</v>
      </c>
      <c r="AD45" t="s">
        <v>58</v>
      </c>
    </row>
    <row r="46" spans="1:30" x14ac:dyDescent="0.25">
      <c r="A46" t="s">
        <v>146</v>
      </c>
      <c r="B46" t="s">
        <v>147</v>
      </c>
      <c r="C46" s="26">
        <v>44706</v>
      </c>
      <c r="D46" s="16">
        <v>25500</v>
      </c>
      <c r="E46" t="s">
        <v>61</v>
      </c>
      <c r="F46" t="s">
        <v>64</v>
      </c>
      <c r="G46" s="16">
        <v>25500</v>
      </c>
      <c r="H46" s="16">
        <v>9900</v>
      </c>
      <c r="I46" s="21">
        <f t="shared" si="4"/>
        <v>38.82352941176471</v>
      </c>
      <c r="J46" s="16">
        <v>26470</v>
      </c>
      <c r="K46" s="16">
        <f>G46-19645</f>
        <v>5855</v>
      </c>
      <c r="L46" s="16">
        <v>6825</v>
      </c>
      <c r="M46" s="31">
        <v>60</v>
      </c>
      <c r="N46" s="35">
        <v>200</v>
      </c>
      <c r="O46" s="40">
        <v>0.13800000000000001</v>
      </c>
      <c r="P46" s="40">
        <v>6.9000000000000006E-2</v>
      </c>
      <c r="Q46" s="16">
        <f t="shared" si="5"/>
        <v>97.583333333333329</v>
      </c>
      <c r="R46" s="16">
        <f t="shared" si="6"/>
        <v>42427.536231884056</v>
      </c>
      <c r="S46" s="45">
        <f t="shared" si="7"/>
        <v>0.97400220918007474</v>
      </c>
      <c r="T46" s="40">
        <v>60</v>
      </c>
      <c r="U46" s="6" t="s">
        <v>55</v>
      </c>
      <c r="W46" t="s">
        <v>148</v>
      </c>
      <c r="X46" t="s">
        <v>56</v>
      </c>
      <c r="Y46">
        <v>0</v>
      </c>
      <c r="Z46">
        <v>1</v>
      </c>
      <c r="AA46" s="8">
        <v>37008</v>
      </c>
      <c r="AC46" s="7" t="s">
        <v>57</v>
      </c>
      <c r="AD46" t="s">
        <v>58</v>
      </c>
    </row>
    <row r="47" spans="1:30" x14ac:dyDescent="0.25">
      <c r="A47" t="s">
        <v>336</v>
      </c>
      <c r="B47" t="s">
        <v>337</v>
      </c>
      <c r="C47" s="26">
        <v>44536</v>
      </c>
      <c r="D47" s="16">
        <v>63000</v>
      </c>
      <c r="E47" t="s">
        <v>46</v>
      </c>
      <c r="F47" t="s">
        <v>47</v>
      </c>
      <c r="G47" s="16">
        <v>63000</v>
      </c>
      <c r="H47" s="16">
        <v>18500</v>
      </c>
      <c r="I47" s="21">
        <f t="shared" si="4"/>
        <v>29.365079365079367</v>
      </c>
      <c r="J47" s="16">
        <v>62579</v>
      </c>
      <c r="K47" s="16">
        <f>G47-56143</f>
        <v>6857</v>
      </c>
      <c r="L47" s="16">
        <v>6436</v>
      </c>
      <c r="M47" s="31">
        <v>53.637281999999999</v>
      </c>
      <c r="N47" s="35">
        <v>118</v>
      </c>
      <c r="O47" s="40">
        <v>0.14699999999999999</v>
      </c>
      <c r="P47" s="40">
        <v>0.14699999999999999</v>
      </c>
      <c r="Q47" s="16">
        <f t="shared" si="5"/>
        <v>127.84018399739196</v>
      </c>
      <c r="R47" s="16">
        <f t="shared" si="6"/>
        <v>46646.258503401361</v>
      </c>
      <c r="S47" s="45">
        <f t="shared" si="7"/>
        <v>1.0708507461754215</v>
      </c>
      <c r="T47" s="40">
        <v>54.18</v>
      </c>
      <c r="U47" s="6" t="s">
        <v>323</v>
      </c>
      <c r="X47" t="s">
        <v>324</v>
      </c>
      <c r="Y47">
        <v>0</v>
      </c>
      <c r="Z47">
        <v>1</v>
      </c>
      <c r="AA47" s="8">
        <v>37028</v>
      </c>
      <c r="AC47" s="7" t="s">
        <v>57</v>
      </c>
      <c r="AD47" t="s">
        <v>58</v>
      </c>
    </row>
    <row r="48" spans="1:30" x14ac:dyDescent="0.25">
      <c r="A48" t="s">
        <v>157</v>
      </c>
      <c r="B48" t="s">
        <v>158</v>
      </c>
      <c r="C48" s="26">
        <v>44957</v>
      </c>
      <c r="D48" s="16">
        <v>70000</v>
      </c>
      <c r="E48" t="s">
        <v>61</v>
      </c>
      <c r="F48" t="s">
        <v>64</v>
      </c>
      <c r="G48" s="16">
        <v>70000</v>
      </c>
      <c r="H48" s="16">
        <v>25700</v>
      </c>
      <c r="I48" s="21">
        <f t="shared" si="4"/>
        <v>36.714285714285715</v>
      </c>
      <c r="J48" s="16">
        <v>68551</v>
      </c>
      <c r="K48" s="16">
        <f>G48-60751</f>
        <v>9249</v>
      </c>
      <c r="L48" s="16">
        <v>7800</v>
      </c>
      <c r="M48" s="31">
        <v>60</v>
      </c>
      <c r="N48" s="35">
        <v>200</v>
      </c>
      <c r="O48" s="40">
        <v>0.13800000000000001</v>
      </c>
      <c r="P48" s="40">
        <v>6.9000000000000006E-2</v>
      </c>
      <c r="Q48" s="16">
        <f t="shared" si="5"/>
        <v>154.15</v>
      </c>
      <c r="R48" s="16">
        <f t="shared" si="6"/>
        <v>67021.739130434784</v>
      </c>
      <c r="S48" s="45">
        <f t="shared" si="7"/>
        <v>1.5386074180540583</v>
      </c>
      <c r="T48" s="40">
        <v>60</v>
      </c>
      <c r="U48" s="6" t="s">
        <v>55</v>
      </c>
      <c r="W48" t="s">
        <v>159</v>
      </c>
      <c r="X48" t="s">
        <v>56</v>
      </c>
      <c r="Y48">
        <v>0</v>
      </c>
      <c r="Z48">
        <v>1</v>
      </c>
      <c r="AA48" s="8">
        <v>37011</v>
      </c>
      <c r="AC48" s="7" t="s">
        <v>57</v>
      </c>
      <c r="AD48" t="s">
        <v>58</v>
      </c>
    </row>
    <row r="49" spans="1:30" x14ac:dyDescent="0.25">
      <c r="A49" t="s">
        <v>266</v>
      </c>
      <c r="B49" t="s">
        <v>267</v>
      </c>
      <c r="C49" s="26">
        <v>44869</v>
      </c>
      <c r="D49" s="16">
        <v>75100</v>
      </c>
      <c r="E49" t="s">
        <v>46</v>
      </c>
      <c r="F49" t="s">
        <v>47</v>
      </c>
      <c r="G49" s="16">
        <v>75100</v>
      </c>
      <c r="H49" s="16">
        <v>27400</v>
      </c>
      <c r="I49" s="21">
        <f t="shared" si="4"/>
        <v>36.484687083888154</v>
      </c>
      <c r="J49" s="16">
        <v>73962</v>
      </c>
      <c r="K49" s="16">
        <f>G49-68447</f>
        <v>6653</v>
      </c>
      <c r="L49" s="16">
        <v>5515</v>
      </c>
      <c r="M49" s="31">
        <v>42.426406999999998</v>
      </c>
      <c r="N49" s="35">
        <v>100</v>
      </c>
      <c r="O49" s="40">
        <v>0.13800000000000001</v>
      </c>
      <c r="P49" s="40">
        <v>0.13800000000000001</v>
      </c>
      <c r="Q49" s="16">
        <f t="shared" si="5"/>
        <v>156.81271336505117</v>
      </c>
      <c r="R49" s="16">
        <f t="shared" si="6"/>
        <v>48210.144927536225</v>
      </c>
      <c r="S49" s="45">
        <f t="shared" si="7"/>
        <v>1.1067526383731916</v>
      </c>
      <c r="T49" s="40">
        <v>60</v>
      </c>
      <c r="U49" s="6" t="s">
        <v>55</v>
      </c>
      <c r="X49" t="s">
        <v>56</v>
      </c>
      <c r="Y49">
        <v>0</v>
      </c>
      <c r="Z49">
        <v>1</v>
      </c>
      <c r="AA49" s="8">
        <v>37020</v>
      </c>
      <c r="AC49" s="7" t="s">
        <v>57</v>
      </c>
      <c r="AD49" t="s">
        <v>58</v>
      </c>
    </row>
    <row r="50" spans="1:30" x14ac:dyDescent="0.25">
      <c r="A50" t="s">
        <v>223</v>
      </c>
      <c r="B50" t="s">
        <v>224</v>
      </c>
      <c r="C50" s="26">
        <v>44449</v>
      </c>
      <c r="D50" s="16">
        <v>65500</v>
      </c>
      <c r="E50" t="s">
        <v>46</v>
      </c>
      <c r="F50" t="s">
        <v>47</v>
      </c>
      <c r="G50" s="16">
        <v>65500</v>
      </c>
      <c r="H50" s="16">
        <v>20600</v>
      </c>
      <c r="I50" s="21">
        <f t="shared" si="4"/>
        <v>31.450381679389309</v>
      </c>
      <c r="J50" s="16">
        <v>64352</v>
      </c>
      <c r="K50" s="16">
        <f>G50-59575</f>
        <v>5925</v>
      </c>
      <c r="L50" s="16">
        <v>4777</v>
      </c>
      <c r="M50" s="31">
        <v>36.742345999999998</v>
      </c>
      <c r="N50" s="35">
        <v>100</v>
      </c>
      <c r="O50" s="40">
        <v>0.10299999999999999</v>
      </c>
      <c r="P50" s="40">
        <v>0.10299999999999999</v>
      </c>
      <c r="Q50" s="16">
        <f t="shared" si="5"/>
        <v>161.25807535534068</v>
      </c>
      <c r="R50" s="16">
        <f t="shared" si="6"/>
        <v>57524.271844660194</v>
      </c>
      <c r="S50" s="45">
        <f t="shared" si="7"/>
        <v>1.3205755703549171</v>
      </c>
      <c r="T50" s="40">
        <v>45</v>
      </c>
      <c r="U50" s="6" t="s">
        <v>55</v>
      </c>
      <c r="X50" t="s">
        <v>56</v>
      </c>
      <c r="Y50">
        <v>0</v>
      </c>
      <c r="Z50">
        <v>1</v>
      </c>
      <c r="AA50" s="8">
        <v>37020</v>
      </c>
      <c r="AC50" s="7" t="s">
        <v>57</v>
      </c>
      <c r="AD50" t="s">
        <v>58</v>
      </c>
    </row>
    <row r="51" spans="1:30" x14ac:dyDescent="0.25">
      <c r="A51" t="s">
        <v>280</v>
      </c>
      <c r="B51" t="s">
        <v>281</v>
      </c>
      <c r="C51" s="26">
        <v>44721</v>
      </c>
      <c r="D51" s="16">
        <v>70000</v>
      </c>
      <c r="E51" t="s">
        <v>46</v>
      </c>
      <c r="F51" t="s">
        <v>64</v>
      </c>
      <c r="G51" s="16">
        <v>70000</v>
      </c>
      <c r="H51" s="16">
        <v>25300</v>
      </c>
      <c r="I51" s="21">
        <f t="shared" si="4"/>
        <v>36.142857142857146</v>
      </c>
      <c r="J51" s="16">
        <v>66668</v>
      </c>
      <c r="K51" s="16">
        <f>G51-57991</f>
        <v>12009</v>
      </c>
      <c r="L51" s="16">
        <v>8677</v>
      </c>
      <c r="M51" s="31">
        <v>66.742345999999998</v>
      </c>
      <c r="N51" s="35">
        <v>200</v>
      </c>
      <c r="O51" s="40">
        <v>0.17199999999999999</v>
      </c>
      <c r="P51" s="40">
        <v>0.10299999999999999</v>
      </c>
      <c r="Q51" s="16">
        <f t="shared" si="5"/>
        <v>179.93074441824385</v>
      </c>
      <c r="R51" s="16">
        <f t="shared" si="6"/>
        <v>69819.767441860473</v>
      </c>
      <c r="S51" s="45">
        <f t="shared" si="7"/>
        <v>1.6028413095009291</v>
      </c>
      <c r="T51" s="40">
        <v>75</v>
      </c>
      <c r="U51" s="6" t="s">
        <v>55</v>
      </c>
      <c r="W51" t="s">
        <v>282</v>
      </c>
      <c r="X51" t="s">
        <v>56</v>
      </c>
      <c r="Y51">
        <v>0</v>
      </c>
      <c r="Z51">
        <v>1</v>
      </c>
      <c r="AA51" t="s">
        <v>50</v>
      </c>
      <c r="AC51" s="7" t="s">
        <v>57</v>
      </c>
      <c r="AD51" t="s">
        <v>58</v>
      </c>
    </row>
    <row r="52" spans="1:30" x14ac:dyDescent="0.25">
      <c r="A52" t="s">
        <v>313</v>
      </c>
      <c r="B52" t="s">
        <v>314</v>
      </c>
      <c r="C52" s="26">
        <v>44770</v>
      </c>
      <c r="D52" s="16">
        <v>72000</v>
      </c>
      <c r="E52" t="s">
        <v>46</v>
      </c>
      <c r="F52" t="s">
        <v>47</v>
      </c>
      <c r="G52" s="16">
        <v>72000</v>
      </c>
      <c r="H52" s="16">
        <v>25800</v>
      </c>
      <c r="I52" s="21">
        <f t="shared" si="4"/>
        <v>35.833333333333336</v>
      </c>
      <c r="J52" s="16">
        <v>70026</v>
      </c>
      <c r="K52" s="16">
        <f>G52-65030</f>
        <v>6970</v>
      </c>
      <c r="L52" s="16">
        <v>4996</v>
      </c>
      <c r="M52" s="31">
        <v>38.430456999999997</v>
      </c>
      <c r="N52" s="35">
        <v>109.400002</v>
      </c>
      <c r="O52" s="40">
        <v>0.113</v>
      </c>
      <c r="P52" s="40">
        <v>0.113</v>
      </c>
      <c r="Q52" s="16">
        <f t="shared" si="5"/>
        <v>181.36656558624844</v>
      </c>
      <c r="R52" s="16">
        <f t="shared" si="6"/>
        <v>61681.41592920354</v>
      </c>
      <c r="S52" s="45">
        <f t="shared" si="7"/>
        <v>1.4160104666942961</v>
      </c>
      <c r="T52" s="40">
        <v>45</v>
      </c>
      <c r="U52" s="6" t="s">
        <v>55</v>
      </c>
      <c r="X52" t="s">
        <v>56</v>
      </c>
      <c r="Y52">
        <v>0</v>
      </c>
      <c r="Z52">
        <v>1</v>
      </c>
      <c r="AA52" s="8">
        <v>37025</v>
      </c>
      <c r="AC52" s="7" t="s">
        <v>57</v>
      </c>
      <c r="AD52" t="s">
        <v>58</v>
      </c>
    </row>
    <row r="53" spans="1:30" x14ac:dyDescent="0.25">
      <c r="A53" t="s">
        <v>283</v>
      </c>
      <c r="B53" t="s">
        <v>284</v>
      </c>
      <c r="C53" s="26">
        <v>44727</v>
      </c>
      <c r="D53" s="16">
        <v>68500</v>
      </c>
      <c r="E53" t="s">
        <v>46</v>
      </c>
      <c r="F53" t="s">
        <v>64</v>
      </c>
      <c r="G53" s="16">
        <v>68500</v>
      </c>
      <c r="H53" s="16">
        <v>25500</v>
      </c>
      <c r="I53" s="21">
        <f t="shared" si="4"/>
        <v>37.226277372262771</v>
      </c>
      <c r="J53" s="16">
        <v>63444</v>
      </c>
      <c r="K53" s="16">
        <f>G53-50662</f>
        <v>17838</v>
      </c>
      <c r="L53" s="16">
        <v>12782</v>
      </c>
      <c r="M53" s="31">
        <v>98.324927000000002</v>
      </c>
      <c r="N53" s="35">
        <v>300</v>
      </c>
      <c r="O53" s="40">
        <v>0.24199999999999999</v>
      </c>
      <c r="P53" s="40">
        <v>6.9000000000000006E-2</v>
      </c>
      <c r="Q53" s="16">
        <f t="shared" si="5"/>
        <v>181.41889899394485</v>
      </c>
      <c r="R53" s="16">
        <f t="shared" si="6"/>
        <v>73710.74380165289</v>
      </c>
      <c r="S53" s="45">
        <f t="shared" si="7"/>
        <v>1.6921658356669627</v>
      </c>
      <c r="T53" s="40">
        <v>115.88</v>
      </c>
      <c r="U53" s="6" t="s">
        <v>55</v>
      </c>
      <c r="W53" t="s">
        <v>285</v>
      </c>
      <c r="X53" t="s">
        <v>56</v>
      </c>
      <c r="Y53">
        <v>0</v>
      </c>
      <c r="Z53">
        <v>1</v>
      </c>
      <c r="AA53" t="s">
        <v>50</v>
      </c>
      <c r="AC53" s="7" t="s">
        <v>57</v>
      </c>
      <c r="AD53" t="s">
        <v>58</v>
      </c>
    </row>
    <row r="54" spans="1:30" x14ac:dyDescent="0.25">
      <c r="A54" t="s">
        <v>89</v>
      </c>
      <c r="B54" t="s">
        <v>90</v>
      </c>
      <c r="C54" s="26">
        <v>44370</v>
      </c>
      <c r="D54" s="16">
        <v>50000</v>
      </c>
      <c r="E54" t="s">
        <v>46</v>
      </c>
      <c r="F54" t="s">
        <v>47</v>
      </c>
      <c r="G54" s="16">
        <v>50000</v>
      </c>
      <c r="H54" s="16">
        <v>12900</v>
      </c>
      <c r="I54" s="21">
        <f t="shared" si="4"/>
        <v>25.8</v>
      </c>
      <c r="J54" s="16">
        <v>43904</v>
      </c>
      <c r="K54" s="16">
        <f>G54-41524</f>
        <v>8476</v>
      </c>
      <c r="L54" s="16">
        <v>2380</v>
      </c>
      <c r="M54" s="31">
        <v>31.734196000000001</v>
      </c>
      <c r="N54" s="35">
        <v>111.760002</v>
      </c>
      <c r="O54" s="40">
        <v>8.5000000000000006E-2</v>
      </c>
      <c r="P54" s="40">
        <v>8.5000000000000006E-2</v>
      </c>
      <c r="Q54" s="16">
        <f t="shared" si="5"/>
        <v>267.0935794308449</v>
      </c>
      <c r="R54" s="16">
        <f t="shared" si="6"/>
        <v>99717.647058823524</v>
      </c>
      <c r="S54" s="45">
        <f t="shared" si="7"/>
        <v>2.2892021822503104</v>
      </c>
      <c r="T54" s="40">
        <v>33.04</v>
      </c>
      <c r="U54" s="6" t="s">
        <v>80</v>
      </c>
      <c r="X54" t="s">
        <v>81</v>
      </c>
      <c r="Y54">
        <v>0</v>
      </c>
      <c r="Z54">
        <v>1</v>
      </c>
      <c r="AA54" s="8">
        <v>37004</v>
      </c>
      <c r="AC54" s="7" t="s">
        <v>57</v>
      </c>
      <c r="AD54" t="s">
        <v>82</v>
      </c>
    </row>
    <row r="55" spans="1:30" x14ac:dyDescent="0.25">
      <c r="A55" t="s">
        <v>225</v>
      </c>
      <c r="B55" t="s">
        <v>226</v>
      </c>
      <c r="C55" s="26">
        <v>44638</v>
      </c>
      <c r="D55" s="16">
        <v>54000</v>
      </c>
      <c r="E55" t="s">
        <v>46</v>
      </c>
      <c r="F55" t="s">
        <v>64</v>
      </c>
      <c r="G55" s="16">
        <v>54000</v>
      </c>
      <c r="H55" s="16">
        <v>14800</v>
      </c>
      <c r="I55" s="21">
        <f t="shared" si="4"/>
        <v>27.407407407407408</v>
      </c>
      <c r="J55" s="16">
        <v>45410</v>
      </c>
      <c r="K55" s="16">
        <f>G55-37610</f>
        <v>16390</v>
      </c>
      <c r="L55" s="16">
        <v>7800</v>
      </c>
      <c r="M55" s="31">
        <v>60</v>
      </c>
      <c r="N55" s="35">
        <v>200</v>
      </c>
      <c r="O55" s="40">
        <v>0.13800000000000001</v>
      </c>
      <c r="P55" s="40">
        <v>6.9000000000000006E-2</v>
      </c>
      <c r="Q55" s="16">
        <f t="shared" si="5"/>
        <v>273.16666666666669</v>
      </c>
      <c r="R55" s="16">
        <f t="shared" si="6"/>
        <v>118768.11594202898</v>
      </c>
      <c r="S55" s="45">
        <f t="shared" si="7"/>
        <v>2.7265407700190307</v>
      </c>
      <c r="T55" s="40">
        <v>60</v>
      </c>
      <c r="U55" s="6" t="s">
        <v>55</v>
      </c>
      <c r="W55" t="s">
        <v>227</v>
      </c>
      <c r="X55" t="s">
        <v>56</v>
      </c>
      <c r="Y55">
        <v>0</v>
      </c>
      <c r="Z55">
        <v>1</v>
      </c>
      <c r="AA55" s="8">
        <v>37014</v>
      </c>
      <c r="AC55" s="7" t="s">
        <v>57</v>
      </c>
      <c r="AD55" t="s">
        <v>58</v>
      </c>
    </row>
    <row r="56" spans="1:30" x14ac:dyDescent="0.25">
      <c r="A56" t="s">
        <v>334</v>
      </c>
      <c r="B56" t="s">
        <v>335</v>
      </c>
      <c r="C56" s="26">
        <v>44316</v>
      </c>
      <c r="D56" s="16">
        <v>60000</v>
      </c>
      <c r="E56" t="s">
        <v>61</v>
      </c>
      <c r="F56" t="s">
        <v>47</v>
      </c>
      <c r="G56" s="16">
        <v>60000</v>
      </c>
      <c r="H56" s="16">
        <v>14300</v>
      </c>
      <c r="I56" s="21">
        <f t="shared" si="4"/>
        <v>23.833333333333336</v>
      </c>
      <c r="J56" s="16">
        <v>49887</v>
      </c>
      <c r="K56" s="16">
        <f>G56-43114</f>
        <v>16886</v>
      </c>
      <c r="L56" s="16">
        <v>6773</v>
      </c>
      <c r="M56" s="31">
        <v>56.444662999999998</v>
      </c>
      <c r="N56" s="35">
        <v>118</v>
      </c>
      <c r="O56" s="40">
        <v>0.16300000000000001</v>
      </c>
      <c r="P56" s="40">
        <v>0.16300000000000001</v>
      </c>
      <c r="Q56" s="16">
        <f t="shared" si="5"/>
        <v>299.1602589601784</v>
      </c>
      <c r="R56" s="16">
        <f t="shared" si="6"/>
        <v>103595.09202453987</v>
      </c>
      <c r="S56" s="45">
        <f t="shared" si="7"/>
        <v>2.3782160703521549</v>
      </c>
      <c r="T56" s="40">
        <v>60</v>
      </c>
      <c r="U56" s="6" t="s">
        <v>323</v>
      </c>
      <c r="X56" t="s">
        <v>324</v>
      </c>
      <c r="Y56">
        <v>0</v>
      </c>
      <c r="Z56">
        <v>1</v>
      </c>
      <c r="AA56" s="8">
        <v>37028</v>
      </c>
      <c r="AC56" s="7" t="s">
        <v>57</v>
      </c>
      <c r="AD56" t="s">
        <v>58</v>
      </c>
    </row>
    <row r="57" spans="1:30" x14ac:dyDescent="0.25">
      <c r="A57" t="s">
        <v>274</v>
      </c>
      <c r="B57" t="s">
        <v>275</v>
      </c>
      <c r="C57" s="26">
        <v>44456</v>
      </c>
      <c r="D57" s="16">
        <v>60000</v>
      </c>
      <c r="E57" t="s">
        <v>46</v>
      </c>
      <c r="F57" t="s">
        <v>47</v>
      </c>
      <c r="G57" s="16">
        <v>60000</v>
      </c>
      <c r="H57" s="16">
        <v>16100</v>
      </c>
      <c r="I57" s="21">
        <f t="shared" si="4"/>
        <v>26.833333333333332</v>
      </c>
      <c r="J57" s="16">
        <v>53466</v>
      </c>
      <c r="K57" s="16">
        <f>G57-49566</f>
        <v>10434</v>
      </c>
      <c r="L57" s="16">
        <v>3900</v>
      </c>
      <c r="M57" s="31">
        <v>30</v>
      </c>
      <c r="N57" s="35">
        <v>100</v>
      </c>
      <c r="O57" s="40">
        <v>6.9000000000000006E-2</v>
      </c>
      <c r="P57" s="40">
        <v>6.9000000000000006E-2</v>
      </c>
      <c r="Q57" s="16">
        <f t="shared" si="5"/>
        <v>347.8</v>
      </c>
      <c r="R57" s="16">
        <f t="shared" si="6"/>
        <v>151217.39130434781</v>
      </c>
      <c r="S57" s="45">
        <f t="shared" si="7"/>
        <v>3.4714736295763959</v>
      </c>
      <c r="T57" s="40">
        <v>30</v>
      </c>
      <c r="U57" s="6" t="s">
        <v>55</v>
      </c>
      <c r="X57" t="s">
        <v>56</v>
      </c>
      <c r="Y57">
        <v>0</v>
      </c>
      <c r="Z57">
        <v>1</v>
      </c>
      <c r="AA57" s="8">
        <v>37021</v>
      </c>
      <c r="AC57" s="7" t="s">
        <v>57</v>
      </c>
      <c r="AD57" t="s">
        <v>58</v>
      </c>
    </row>
    <row r="58" spans="1:30" x14ac:dyDescent="0.25">
      <c r="A58" t="s">
        <v>105</v>
      </c>
      <c r="B58" t="s">
        <v>106</v>
      </c>
      <c r="C58" s="26">
        <v>44984</v>
      </c>
      <c r="D58" s="16">
        <v>80000</v>
      </c>
      <c r="E58" t="s">
        <v>85</v>
      </c>
      <c r="F58" t="s">
        <v>47</v>
      </c>
      <c r="G58" s="16">
        <v>80000</v>
      </c>
      <c r="H58" s="16">
        <v>26800</v>
      </c>
      <c r="I58" s="21">
        <f t="shared" si="4"/>
        <v>33.5</v>
      </c>
      <c r="J58" s="16">
        <v>73018</v>
      </c>
      <c r="K58" s="16">
        <f>G58-68895</f>
        <v>11105</v>
      </c>
      <c r="L58" s="16">
        <v>4123</v>
      </c>
      <c r="M58" s="31">
        <v>31.714981000000002</v>
      </c>
      <c r="N58" s="35">
        <v>111.760002</v>
      </c>
      <c r="O58" s="40">
        <v>7.6999999999999999E-2</v>
      </c>
      <c r="P58" s="40">
        <v>7.6999999999999999E-2</v>
      </c>
      <c r="Q58" s="16">
        <f t="shared" si="5"/>
        <v>350.14998117135872</v>
      </c>
      <c r="R58" s="16">
        <f t="shared" si="6"/>
        <v>144220.77922077922</v>
      </c>
      <c r="S58" s="45">
        <f t="shared" si="7"/>
        <v>3.3108535174650879</v>
      </c>
      <c r="T58" s="40">
        <v>30</v>
      </c>
      <c r="U58" s="6" t="s">
        <v>55</v>
      </c>
      <c r="X58" t="s">
        <v>56</v>
      </c>
      <c r="Y58">
        <v>0</v>
      </c>
      <c r="Z58">
        <v>1</v>
      </c>
      <c r="AA58" s="8">
        <v>37012</v>
      </c>
      <c r="AC58" s="7" t="s">
        <v>57</v>
      </c>
      <c r="AD58" t="s">
        <v>58</v>
      </c>
    </row>
    <row r="59" spans="1:30" x14ac:dyDescent="0.25">
      <c r="A59" t="s">
        <v>136</v>
      </c>
      <c r="B59" t="s">
        <v>137</v>
      </c>
      <c r="C59" s="26">
        <v>44705</v>
      </c>
      <c r="D59" s="16">
        <v>52000</v>
      </c>
      <c r="E59" t="s">
        <v>46</v>
      </c>
      <c r="F59" t="s">
        <v>47</v>
      </c>
      <c r="G59" s="16">
        <v>52000</v>
      </c>
      <c r="H59" s="16">
        <v>16800</v>
      </c>
      <c r="I59" s="21">
        <f t="shared" si="4"/>
        <v>32.307692307692307</v>
      </c>
      <c r="J59" s="16">
        <v>45387</v>
      </c>
      <c r="K59" s="16">
        <f>G59-41487</f>
        <v>10513</v>
      </c>
      <c r="L59" s="16">
        <v>3900</v>
      </c>
      <c r="M59" s="31">
        <v>30</v>
      </c>
      <c r="N59" s="35">
        <v>100</v>
      </c>
      <c r="O59" s="40">
        <v>6.9000000000000006E-2</v>
      </c>
      <c r="P59" s="40">
        <v>6.9000000000000006E-2</v>
      </c>
      <c r="Q59" s="16">
        <f t="shared" si="5"/>
        <v>350.43333333333334</v>
      </c>
      <c r="R59" s="16">
        <f t="shared" si="6"/>
        <v>152362.31884057971</v>
      </c>
      <c r="S59" s="45">
        <f t="shared" si="7"/>
        <v>3.4977575491409483</v>
      </c>
      <c r="T59" s="40">
        <v>30</v>
      </c>
      <c r="U59" s="6" t="s">
        <v>55</v>
      </c>
      <c r="X59" t="s">
        <v>56</v>
      </c>
      <c r="Y59">
        <v>0</v>
      </c>
      <c r="Z59">
        <v>1</v>
      </c>
      <c r="AA59" s="8">
        <v>37007</v>
      </c>
      <c r="AC59" s="7" t="s">
        <v>57</v>
      </c>
      <c r="AD59" t="s">
        <v>58</v>
      </c>
    </row>
    <row r="60" spans="1:30" x14ac:dyDescent="0.25">
      <c r="A60" t="s">
        <v>176</v>
      </c>
      <c r="B60" t="s">
        <v>177</v>
      </c>
      <c r="C60" s="26">
        <v>44386</v>
      </c>
      <c r="D60" s="16">
        <v>100000</v>
      </c>
      <c r="E60" t="s">
        <v>46</v>
      </c>
      <c r="F60" t="s">
        <v>47</v>
      </c>
      <c r="G60" s="16">
        <v>100000</v>
      </c>
      <c r="H60" s="16">
        <v>29400</v>
      </c>
      <c r="I60" s="21">
        <f t="shared" si="4"/>
        <v>29.4</v>
      </c>
      <c r="J60" s="16">
        <v>93335</v>
      </c>
      <c r="K60" s="16">
        <f>G60-89567</f>
        <v>10433</v>
      </c>
      <c r="L60" s="16">
        <v>3768</v>
      </c>
      <c r="M60" s="31">
        <v>28.982752999999999</v>
      </c>
      <c r="N60" s="35">
        <v>70</v>
      </c>
      <c r="O60" s="40">
        <v>6.4000000000000001E-2</v>
      </c>
      <c r="P60" s="40">
        <v>6.4000000000000001E-2</v>
      </c>
      <c r="Q60" s="16">
        <f t="shared" si="5"/>
        <v>359.97270514640206</v>
      </c>
      <c r="R60" s="16">
        <f t="shared" si="6"/>
        <v>163015.625</v>
      </c>
      <c r="S60" s="45">
        <f t="shared" si="7"/>
        <v>3.742323806244261</v>
      </c>
      <c r="T60" s="40">
        <v>40</v>
      </c>
      <c r="U60" s="6" t="s">
        <v>55</v>
      </c>
      <c r="X60" t="s">
        <v>56</v>
      </c>
      <c r="Y60">
        <v>0</v>
      </c>
      <c r="Z60">
        <v>1</v>
      </c>
      <c r="AA60" s="8">
        <v>40583</v>
      </c>
      <c r="AC60" s="7" t="s">
        <v>57</v>
      </c>
      <c r="AD60" t="s">
        <v>58</v>
      </c>
    </row>
    <row r="61" spans="1:30" x14ac:dyDescent="0.25">
      <c r="A61" t="s">
        <v>113</v>
      </c>
      <c r="B61" t="s">
        <v>114</v>
      </c>
      <c r="C61" s="26">
        <v>44687</v>
      </c>
      <c r="D61" s="16">
        <v>75000</v>
      </c>
      <c r="E61" t="s">
        <v>46</v>
      </c>
      <c r="F61" t="s">
        <v>47</v>
      </c>
      <c r="G61" s="16">
        <v>75000</v>
      </c>
      <c r="H61" s="16">
        <v>24300</v>
      </c>
      <c r="I61" s="21">
        <f t="shared" si="4"/>
        <v>32.4</v>
      </c>
      <c r="J61" s="16">
        <v>65830</v>
      </c>
      <c r="K61" s="16">
        <f>G61-60678</f>
        <v>14322</v>
      </c>
      <c r="L61" s="16">
        <v>5152</v>
      </c>
      <c r="M61" s="31">
        <v>39.627156999999997</v>
      </c>
      <c r="N61" s="35">
        <v>109.885002</v>
      </c>
      <c r="O61" s="40">
        <v>0.12</v>
      </c>
      <c r="P61" s="40">
        <v>0.12</v>
      </c>
      <c r="Q61" s="16">
        <f t="shared" si="5"/>
        <v>361.4188118516804</v>
      </c>
      <c r="R61" s="16">
        <f t="shared" si="6"/>
        <v>119350</v>
      </c>
      <c r="S61" s="45">
        <f t="shared" si="7"/>
        <v>2.7398989898989901</v>
      </c>
      <c r="T61" s="40">
        <v>47.634999999999998</v>
      </c>
      <c r="U61" s="6" t="s">
        <v>55</v>
      </c>
      <c r="X61" t="s">
        <v>56</v>
      </c>
      <c r="Y61">
        <v>0</v>
      </c>
      <c r="Z61">
        <v>1</v>
      </c>
      <c r="AA61" s="8">
        <v>37015</v>
      </c>
      <c r="AC61" s="7" t="s">
        <v>57</v>
      </c>
      <c r="AD61" t="s">
        <v>58</v>
      </c>
    </row>
    <row r="62" spans="1:30" x14ac:dyDescent="0.25">
      <c r="A62" t="s">
        <v>149</v>
      </c>
      <c r="B62" t="s">
        <v>150</v>
      </c>
      <c r="C62" s="26">
        <v>44763</v>
      </c>
      <c r="D62" s="16">
        <v>85500</v>
      </c>
      <c r="E62" t="s">
        <v>46</v>
      </c>
      <c r="F62" t="s">
        <v>47</v>
      </c>
      <c r="G62" s="16">
        <v>85500</v>
      </c>
      <c r="H62" s="16">
        <v>27800</v>
      </c>
      <c r="I62" s="21">
        <f t="shared" si="4"/>
        <v>32.514619883040936</v>
      </c>
      <c r="J62" s="16">
        <v>75394</v>
      </c>
      <c r="K62" s="16">
        <f>G62-69879</f>
        <v>15621</v>
      </c>
      <c r="L62" s="16">
        <v>5515</v>
      </c>
      <c r="M62" s="31">
        <v>42.426406999999998</v>
      </c>
      <c r="N62" s="35">
        <v>100</v>
      </c>
      <c r="O62" s="40">
        <v>0.13800000000000001</v>
      </c>
      <c r="P62" s="40">
        <v>0.13800000000000001</v>
      </c>
      <c r="Q62" s="16">
        <f t="shared" si="5"/>
        <v>368.19049984600395</v>
      </c>
      <c r="R62" s="16">
        <f t="shared" si="6"/>
        <v>113195.65217391304</v>
      </c>
      <c r="S62" s="45">
        <f t="shared" si="7"/>
        <v>2.5986146045434584</v>
      </c>
      <c r="T62" s="40">
        <v>60</v>
      </c>
      <c r="U62" s="6" t="s">
        <v>55</v>
      </c>
      <c r="X62" t="s">
        <v>56</v>
      </c>
      <c r="Y62">
        <v>0</v>
      </c>
      <c r="Z62">
        <v>1</v>
      </c>
      <c r="AA62" s="8">
        <v>37008</v>
      </c>
      <c r="AC62" s="7" t="s">
        <v>57</v>
      </c>
      <c r="AD62" t="s">
        <v>58</v>
      </c>
    </row>
    <row r="63" spans="1:30" x14ac:dyDescent="0.25">
      <c r="A63" t="s">
        <v>292</v>
      </c>
      <c r="B63" t="s">
        <v>293</v>
      </c>
      <c r="C63" s="26">
        <v>44679</v>
      </c>
      <c r="D63" s="16">
        <v>57000</v>
      </c>
      <c r="E63" t="s">
        <v>61</v>
      </c>
      <c r="F63" t="s">
        <v>47</v>
      </c>
      <c r="G63" s="16">
        <v>57000</v>
      </c>
      <c r="H63" s="16">
        <v>18400</v>
      </c>
      <c r="I63" s="21">
        <f t="shared" si="4"/>
        <v>32.280701754385966</v>
      </c>
      <c r="J63" s="16">
        <v>49447</v>
      </c>
      <c r="K63" s="16">
        <f>G63-45356</f>
        <v>11644</v>
      </c>
      <c r="L63" s="16">
        <v>4091</v>
      </c>
      <c r="M63" s="31">
        <v>31.469985999999999</v>
      </c>
      <c r="N63" s="35">
        <v>110.040001</v>
      </c>
      <c r="O63" s="40">
        <v>7.5999999999999998E-2</v>
      </c>
      <c r="P63" s="40">
        <v>7.5999999999999998E-2</v>
      </c>
      <c r="Q63" s="16">
        <f t="shared" si="5"/>
        <v>370.00334223218277</v>
      </c>
      <c r="R63" s="16">
        <f t="shared" si="6"/>
        <v>153210.52631578947</v>
      </c>
      <c r="S63" s="45">
        <f t="shared" si="7"/>
        <v>3.5172297134019619</v>
      </c>
      <c r="T63" s="40">
        <v>30</v>
      </c>
      <c r="U63" s="6" t="s">
        <v>55</v>
      </c>
      <c r="X63" t="s">
        <v>56</v>
      </c>
      <c r="Y63">
        <v>0</v>
      </c>
      <c r="Z63">
        <v>1</v>
      </c>
      <c r="AA63" t="s">
        <v>50</v>
      </c>
      <c r="AC63" s="7" t="s">
        <v>57</v>
      </c>
      <c r="AD63" t="s">
        <v>58</v>
      </c>
    </row>
    <row r="64" spans="1:30" x14ac:dyDescent="0.25">
      <c r="A64" t="s">
        <v>242</v>
      </c>
      <c r="B64" t="s">
        <v>243</v>
      </c>
      <c r="C64" s="26">
        <v>45012</v>
      </c>
      <c r="D64" s="16">
        <v>120000</v>
      </c>
      <c r="E64" t="s">
        <v>46</v>
      </c>
      <c r="F64" t="s">
        <v>47</v>
      </c>
      <c r="G64" s="16">
        <v>120000</v>
      </c>
      <c r="H64" s="16">
        <v>42200</v>
      </c>
      <c r="I64" s="21">
        <f t="shared" si="4"/>
        <v>35.166666666666671</v>
      </c>
      <c r="J64" s="16">
        <v>112431</v>
      </c>
      <c r="K64" s="16">
        <f>G64-108341</f>
        <v>11659</v>
      </c>
      <c r="L64" s="16">
        <v>4090</v>
      </c>
      <c r="M64" s="31">
        <v>31.464265000000001</v>
      </c>
      <c r="N64" s="35">
        <v>110</v>
      </c>
      <c r="O64" s="40">
        <v>7.5999999999999998E-2</v>
      </c>
      <c r="P64" s="40">
        <v>7.5999999999999998E-2</v>
      </c>
      <c r="Q64" s="16">
        <f t="shared" si="5"/>
        <v>370.54734950903827</v>
      </c>
      <c r="R64" s="16">
        <f t="shared" si="6"/>
        <v>153407.89473684211</v>
      </c>
      <c r="S64" s="45">
        <f t="shared" si="7"/>
        <v>3.5217606688898555</v>
      </c>
      <c r="T64" s="40">
        <v>30</v>
      </c>
      <c r="U64" s="6" t="s">
        <v>55</v>
      </c>
      <c r="X64" t="s">
        <v>56</v>
      </c>
      <c r="Y64">
        <v>0</v>
      </c>
      <c r="Z64">
        <v>1</v>
      </c>
      <c r="AA64" s="8">
        <v>37089</v>
      </c>
      <c r="AC64" s="7" t="s">
        <v>57</v>
      </c>
      <c r="AD64" t="s">
        <v>58</v>
      </c>
    </row>
    <row r="65" spans="1:30" x14ac:dyDescent="0.25">
      <c r="A65" t="s">
        <v>197</v>
      </c>
      <c r="B65" t="s">
        <v>198</v>
      </c>
      <c r="C65" s="26">
        <v>44743</v>
      </c>
      <c r="D65" s="16">
        <v>62500</v>
      </c>
      <c r="E65" t="s">
        <v>46</v>
      </c>
      <c r="F65" t="s">
        <v>47</v>
      </c>
      <c r="G65" s="16">
        <v>62500</v>
      </c>
      <c r="H65" s="16">
        <v>20100</v>
      </c>
      <c r="I65" s="21">
        <f t="shared" si="4"/>
        <v>32.159999999999997</v>
      </c>
      <c r="J65" s="16">
        <v>54523</v>
      </c>
      <c r="K65" s="16">
        <f>G65-50433</f>
        <v>12067</v>
      </c>
      <c r="L65" s="16">
        <v>4090</v>
      </c>
      <c r="M65" s="31">
        <v>31.464265000000001</v>
      </c>
      <c r="N65" s="35">
        <v>110</v>
      </c>
      <c r="O65" s="40">
        <v>7.5999999999999998E-2</v>
      </c>
      <c r="P65" s="40">
        <v>7.5999999999999998E-2</v>
      </c>
      <c r="Q65" s="16">
        <f t="shared" si="5"/>
        <v>383.51444090621533</v>
      </c>
      <c r="R65" s="16">
        <f t="shared" si="6"/>
        <v>158776.31578947368</v>
      </c>
      <c r="S65" s="45">
        <f t="shared" si="7"/>
        <v>3.6450026581605526</v>
      </c>
      <c r="T65" s="40">
        <v>30</v>
      </c>
      <c r="U65" s="6" t="s">
        <v>55</v>
      </c>
      <c r="X65" t="s">
        <v>56</v>
      </c>
      <c r="Y65">
        <v>0</v>
      </c>
      <c r="Z65">
        <v>1</v>
      </c>
      <c r="AA65" s="8">
        <v>37013</v>
      </c>
      <c r="AC65" s="7" t="s">
        <v>57</v>
      </c>
      <c r="AD65" t="s">
        <v>58</v>
      </c>
    </row>
    <row r="66" spans="1:30" x14ac:dyDescent="0.25">
      <c r="A66" t="s">
        <v>192</v>
      </c>
      <c r="B66" t="s">
        <v>193</v>
      </c>
      <c r="C66" s="26">
        <v>44762</v>
      </c>
      <c r="D66" s="16">
        <v>53000</v>
      </c>
      <c r="E66" t="s">
        <v>46</v>
      </c>
      <c r="F66" t="s">
        <v>47</v>
      </c>
      <c r="G66" s="16">
        <v>53000</v>
      </c>
      <c r="H66" s="16">
        <v>16500</v>
      </c>
      <c r="I66" s="21">
        <f t="shared" ref="I66:I97" si="8">H66/G66*100</f>
        <v>31.132075471698112</v>
      </c>
      <c r="J66" s="16">
        <v>44525</v>
      </c>
      <c r="K66" s="16">
        <f>G66-40435</f>
        <v>12565</v>
      </c>
      <c r="L66" s="16">
        <v>4090</v>
      </c>
      <c r="M66" s="31">
        <v>31.464265000000001</v>
      </c>
      <c r="N66" s="35">
        <v>110</v>
      </c>
      <c r="O66" s="40">
        <v>7.5999999999999998E-2</v>
      </c>
      <c r="P66" s="40">
        <v>7.5999999999999998E-2</v>
      </c>
      <c r="Q66" s="16">
        <f t="shared" ref="Q66:Q97" si="9">K66/M66</f>
        <v>399.34192011159325</v>
      </c>
      <c r="R66" s="16">
        <f t="shared" ref="R66:R97" si="10">K66/O66</f>
        <v>165328.94736842107</v>
      </c>
      <c r="S66" s="45">
        <f t="shared" ref="S66:S97" si="11">K66/O66/43560</f>
        <v>3.7954303803586105</v>
      </c>
      <c r="T66" s="40">
        <v>30</v>
      </c>
      <c r="U66" s="6" t="s">
        <v>55</v>
      </c>
      <c r="X66" t="s">
        <v>56</v>
      </c>
      <c r="Y66">
        <v>0</v>
      </c>
      <c r="Z66">
        <v>1</v>
      </c>
      <c r="AA66" s="8">
        <v>37013</v>
      </c>
      <c r="AC66" s="7" t="s">
        <v>57</v>
      </c>
      <c r="AD66" t="s">
        <v>58</v>
      </c>
    </row>
    <row r="67" spans="1:30" x14ac:dyDescent="0.25">
      <c r="A67" t="s">
        <v>199</v>
      </c>
      <c r="B67" t="s">
        <v>200</v>
      </c>
      <c r="C67" s="26">
        <v>44375</v>
      </c>
      <c r="D67" s="16">
        <v>63500</v>
      </c>
      <c r="E67" t="s">
        <v>46</v>
      </c>
      <c r="F67" t="s">
        <v>47</v>
      </c>
      <c r="G67" s="16">
        <v>63500</v>
      </c>
      <c r="H67" s="16">
        <v>16300</v>
      </c>
      <c r="I67" s="21">
        <f t="shared" si="8"/>
        <v>25.669291338582678</v>
      </c>
      <c r="J67" s="16">
        <v>54687</v>
      </c>
      <c r="K67" s="16">
        <f>G67-50597</f>
        <v>12903</v>
      </c>
      <c r="L67" s="16">
        <v>4090</v>
      </c>
      <c r="M67" s="31">
        <v>31.464265000000001</v>
      </c>
      <c r="N67" s="35">
        <v>110</v>
      </c>
      <c r="O67" s="40">
        <v>7.5999999999999998E-2</v>
      </c>
      <c r="P67" s="40">
        <v>7.5999999999999998E-2</v>
      </c>
      <c r="Q67" s="16">
        <f t="shared" si="9"/>
        <v>410.08426543572523</v>
      </c>
      <c r="R67" s="16">
        <f t="shared" si="10"/>
        <v>169776.31578947368</v>
      </c>
      <c r="S67" s="45">
        <f t="shared" si="11"/>
        <v>3.8975279106858052</v>
      </c>
      <c r="T67" s="40">
        <v>30</v>
      </c>
      <c r="U67" s="6" t="s">
        <v>55</v>
      </c>
      <c r="X67" t="s">
        <v>56</v>
      </c>
      <c r="Y67">
        <v>0</v>
      </c>
      <c r="Z67">
        <v>1</v>
      </c>
      <c r="AA67" s="8">
        <v>37014</v>
      </c>
      <c r="AC67" s="7" t="s">
        <v>57</v>
      </c>
      <c r="AD67" t="s">
        <v>58</v>
      </c>
    </row>
    <row r="68" spans="1:30" x14ac:dyDescent="0.25">
      <c r="A68" t="s">
        <v>302</v>
      </c>
      <c r="B68" t="s">
        <v>303</v>
      </c>
      <c r="C68" s="26">
        <v>44790</v>
      </c>
      <c r="D68" s="16">
        <v>65000</v>
      </c>
      <c r="E68" t="s">
        <v>46</v>
      </c>
      <c r="F68" t="s">
        <v>47</v>
      </c>
      <c r="G68" s="16">
        <v>65000</v>
      </c>
      <c r="H68" s="16">
        <v>20200</v>
      </c>
      <c r="I68" s="21">
        <f t="shared" si="8"/>
        <v>31.076923076923073</v>
      </c>
      <c r="J68" s="16">
        <v>54897</v>
      </c>
      <c r="K68" s="16">
        <f>G68-50394</f>
        <v>14606</v>
      </c>
      <c r="L68" s="16">
        <v>4503</v>
      </c>
      <c r="M68" s="31">
        <v>34.641016</v>
      </c>
      <c r="N68" s="35">
        <v>100</v>
      </c>
      <c r="O68" s="40">
        <v>9.1999999999999998E-2</v>
      </c>
      <c r="P68" s="40">
        <v>9.1999999999999998E-2</v>
      </c>
      <c r="Q68" s="16">
        <f t="shared" si="9"/>
        <v>421.63890343170073</v>
      </c>
      <c r="R68" s="16">
        <f t="shared" si="10"/>
        <v>158760.86956521741</v>
      </c>
      <c r="S68" s="45">
        <f t="shared" si="11"/>
        <v>3.6446480616441095</v>
      </c>
      <c r="T68" s="40">
        <v>40</v>
      </c>
      <c r="U68" s="6" t="s">
        <v>55</v>
      </c>
      <c r="X68" t="s">
        <v>56</v>
      </c>
      <c r="Y68">
        <v>0</v>
      </c>
      <c r="Z68">
        <v>1</v>
      </c>
      <c r="AA68" s="8">
        <v>40583</v>
      </c>
      <c r="AC68" s="7" t="s">
        <v>57</v>
      </c>
      <c r="AD68" t="s">
        <v>58</v>
      </c>
    </row>
    <row r="69" spans="1:30" x14ac:dyDescent="0.25">
      <c r="A69" t="s">
        <v>66</v>
      </c>
      <c r="B69" t="s">
        <v>67</v>
      </c>
      <c r="C69" s="26">
        <v>44630</v>
      </c>
      <c r="D69" s="16">
        <v>62500</v>
      </c>
      <c r="E69" t="s">
        <v>46</v>
      </c>
      <c r="F69" t="s">
        <v>47</v>
      </c>
      <c r="G69" s="16">
        <v>62500</v>
      </c>
      <c r="H69" s="16">
        <v>16200</v>
      </c>
      <c r="I69" s="21">
        <f t="shared" si="8"/>
        <v>25.919999999999998</v>
      </c>
      <c r="J69" s="16">
        <v>51014</v>
      </c>
      <c r="K69" s="16">
        <f>G69-46179</f>
        <v>16321</v>
      </c>
      <c r="L69" s="16">
        <v>4835</v>
      </c>
      <c r="M69" s="31">
        <v>37.195160999999999</v>
      </c>
      <c r="N69" s="35">
        <v>102.480003</v>
      </c>
      <c r="O69" s="40">
        <v>0.106</v>
      </c>
      <c r="P69" s="40">
        <v>0.106</v>
      </c>
      <c r="Q69" s="16">
        <f t="shared" si="9"/>
        <v>438.79363769926954</v>
      </c>
      <c r="R69" s="16">
        <f t="shared" si="10"/>
        <v>153971.69811320756</v>
      </c>
      <c r="S69" s="45">
        <f t="shared" si="11"/>
        <v>3.534703813434517</v>
      </c>
      <c r="T69" s="40">
        <v>45</v>
      </c>
      <c r="U69" s="6" t="s">
        <v>55</v>
      </c>
      <c r="X69" t="s">
        <v>56</v>
      </c>
      <c r="Y69">
        <v>0</v>
      </c>
      <c r="Z69">
        <v>1</v>
      </c>
      <c r="AA69" s="8">
        <v>37004</v>
      </c>
      <c r="AC69" s="7" t="s">
        <v>57</v>
      </c>
      <c r="AD69" t="s">
        <v>58</v>
      </c>
    </row>
    <row r="70" spans="1:30" x14ac:dyDescent="0.25">
      <c r="A70" t="s">
        <v>346</v>
      </c>
      <c r="B70" t="s">
        <v>347</v>
      </c>
      <c r="C70" s="26">
        <v>44582</v>
      </c>
      <c r="D70" s="16">
        <v>50000</v>
      </c>
      <c r="E70" t="s">
        <v>61</v>
      </c>
      <c r="F70" t="s">
        <v>47</v>
      </c>
      <c r="G70" s="16">
        <v>50000</v>
      </c>
      <c r="H70" s="16">
        <v>12800</v>
      </c>
      <c r="I70" s="21">
        <f t="shared" si="8"/>
        <v>25.6</v>
      </c>
      <c r="J70" s="16">
        <v>40363</v>
      </c>
      <c r="K70" s="16">
        <f>G70-36354</f>
        <v>13646</v>
      </c>
      <c r="L70" s="16">
        <v>4009</v>
      </c>
      <c r="M70" s="31">
        <v>30.839516</v>
      </c>
      <c r="N70" s="35">
        <v>110.040001</v>
      </c>
      <c r="O70" s="40">
        <v>7.2999999999999995E-2</v>
      </c>
      <c r="P70" s="40">
        <v>7.2999999999999995E-2</v>
      </c>
      <c r="Q70" s="16">
        <f t="shared" si="9"/>
        <v>442.48424651022407</v>
      </c>
      <c r="R70" s="16">
        <f t="shared" si="10"/>
        <v>186931.50684931508</v>
      </c>
      <c r="S70" s="45">
        <f t="shared" si="11"/>
        <v>4.2913569065499333</v>
      </c>
      <c r="T70" s="40">
        <v>28.81</v>
      </c>
      <c r="U70" s="6" t="s">
        <v>55</v>
      </c>
      <c r="X70" t="s">
        <v>56</v>
      </c>
      <c r="Y70">
        <v>0</v>
      </c>
      <c r="Z70">
        <v>1</v>
      </c>
      <c r="AA70" s="8">
        <v>37034</v>
      </c>
      <c r="AC70" s="7" t="s">
        <v>57</v>
      </c>
      <c r="AD70" t="s">
        <v>58</v>
      </c>
    </row>
    <row r="71" spans="1:30" x14ac:dyDescent="0.25">
      <c r="A71" t="s">
        <v>190</v>
      </c>
      <c r="B71" t="s">
        <v>191</v>
      </c>
      <c r="C71" s="26">
        <v>44389</v>
      </c>
      <c r="D71" s="16">
        <v>80000</v>
      </c>
      <c r="E71" t="s">
        <v>46</v>
      </c>
      <c r="F71" t="s">
        <v>47</v>
      </c>
      <c r="G71" s="16">
        <v>80000</v>
      </c>
      <c r="H71" s="16">
        <v>21600</v>
      </c>
      <c r="I71" s="21">
        <f t="shared" si="8"/>
        <v>27</v>
      </c>
      <c r="J71" s="16">
        <v>69402</v>
      </c>
      <c r="K71" s="16">
        <f>G71-65312</f>
        <v>14688</v>
      </c>
      <c r="L71" s="16">
        <v>4090</v>
      </c>
      <c r="M71" s="31">
        <v>31.464265000000001</v>
      </c>
      <c r="N71" s="35">
        <v>110</v>
      </c>
      <c r="O71" s="40">
        <v>7.5999999999999998E-2</v>
      </c>
      <c r="P71" s="40">
        <v>7.5999999999999998E-2</v>
      </c>
      <c r="Q71" s="16">
        <f t="shared" si="9"/>
        <v>466.81529029837498</v>
      </c>
      <c r="R71" s="16">
        <f t="shared" si="10"/>
        <v>193263.15789473685</v>
      </c>
      <c r="S71" s="45">
        <f t="shared" si="11"/>
        <v>4.436711613745107</v>
      </c>
      <c r="T71" s="40">
        <v>30</v>
      </c>
      <c r="U71" s="6" t="s">
        <v>55</v>
      </c>
      <c r="X71" t="s">
        <v>56</v>
      </c>
      <c r="Y71">
        <v>0</v>
      </c>
      <c r="Z71">
        <v>1</v>
      </c>
      <c r="AA71" s="8">
        <v>37013</v>
      </c>
      <c r="AC71" s="7" t="s">
        <v>57</v>
      </c>
      <c r="AD71" t="s">
        <v>58</v>
      </c>
    </row>
    <row r="72" spans="1:30" x14ac:dyDescent="0.25">
      <c r="A72" t="s">
        <v>209</v>
      </c>
      <c r="B72" t="s">
        <v>210</v>
      </c>
      <c r="C72" s="26">
        <v>44362</v>
      </c>
      <c r="D72" s="16">
        <v>55000</v>
      </c>
      <c r="E72" t="s">
        <v>61</v>
      </c>
      <c r="F72" t="s">
        <v>47</v>
      </c>
      <c r="G72" s="16">
        <v>55000</v>
      </c>
      <c r="H72" s="16">
        <v>14200</v>
      </c>
      <c r="I72" s="21">
        <f t="shared" si="8"/>
        <v>25.818181818181817</v>
      </c>
      <c r="J72" s="16">
        <v>44859</v>
      </c>
      <c r="K72" s="16">
        <f>G72-40959</f>
        <v>14041</v>
      </c>
      <c r="L72" s="16">
        <v>3900</v>
      </c>
      <c r="M72" s="31">
        <v>30</v>
      </c>
      <c r="N72" s="35">
        <v>100</v>
      </c>
      <c r="O72" s="40">
        <v>6.9000000000000006E-2</v>
      </c>
      <c r="P72" s="40">
        <v>6.9000000000000006E-2</v>
      </c>
      <c r="Q72" s="16">
        <f t="shared" si="9"/>
        <v>468.03333333333336</v>
      </c>
      <c r="R72" s="16">
        <f t="shared" si="10"/>
        <v>203492.75362318839</v>
      </c>
      <c r="S72" s="45">
        <f t="shared" si="11"/>
        <v>4.6715508177958762</v>
      </c>
      <c r="T72" s="40">
        <v>30</v>
      </c>
      <c r="U72" s="6" t="s">
        <v>55</v>
      </c>
      <c r="X72" t="s">
        <v>56</v>
      </c>
      <c r="Y72">
        <v>0</v>
      </c>
      <c r="Z72">
        <v>1</v>
      </c>
      <c r="AA72" s="8">
        <v>37011</v>
      </c>
      <c r="AC72" s="7" t="s">
        <v>57</v>
      </c>
      <c r="AD72" t="s">
        <v>58</v>
      </c>
    </row>
    <row r="73" spans="1:30" x14ac:dyDescent="0.25">
      <c r="A73" t="s">
        <v>86</v>
      </c>
      <c r="B73" t="s">
        <v>87</v>
      </c>
      <c r="C73" s="26">
        <v>44693</v>
      </c>
      <c r="D73" s="16">
        <v>103000</v>
      </c>
      <c r="E73" t="s">
        <v>46</v>
      </c>
      <c r="F73" t="s">
        <v>88</v>
      </c>
      <c r="G73" s="16">
        <v>103000</v>
      </c>
      <c r="H73" s="16">
        <v>32400</v>
      </c>
      <c r="I73" s="21">
        <f t="shared" si="8"/>
        <v>31.456310679611647</v>
      </c>
      <c r="J73" s="16">
        <v>91635</v>
      </c>
      <c r="K73" s="16">
        <f>G73-89490</f>
        <v>13510</v>
      </c>
      <c r="L73" s="16">
        <v>2145</v>
      </c>
      <c r="M73" s="31">
        <v>28.603878000000002</v>
      </c>
      <c r="N73" s="35">
        <v>100</v>
      </c>
      <c r="O73" s="40">
        <v>6.9000000000000006E-2</v>
      </c>
      <c r="P73" s="40">
        <v>6.9000000000000006E-2</v>
      </c>
      <c r="Q73" s="16">
        <f t="shared" si="9"/>
        <v>472.31357929858319</v>
      </c>
      <c r="R73" s="16">
        <f t="shared" si="10"/>
        <v>195797.10144927536</v>
      </c>
      <c r="S73" s="45">
        <f t="shared" si="11"/>
        <v>4.4948829533809773</v>
      </c>
      <c r="T73" s="40">
        <v>30</v>
      </c>
      <c r="U73" s="6" t="s">
        <v>80</v>
      </c>
      <c r="X73" t="s">
        <v>81</v>
      </c>
      <c r="Y73">
        <v>0</v>
      </c>
      <c r="Z73">
        <v>1</v>
      </c>
      <c r="AA73" s="8">
        <v>37001</v>
      </c>
      <c r="AC73" s="7" t="s">
        <v>57</v>
      </c>
      <c r="AD73" t="s">
        <v>82</v>
      </c>
    </row>
    <row r="74" spans="1:30" x14ac:dyDescent="0.25">
      <c r="A74" t="s">
        <v>219</v>
      </c>
      <c r="B74" t="s">
        <v>220</v>
      </c>
      <c r="C74" s="26">
        <v>44851</v>
      </c>
      <c r="D74" s="16">
        <v>70500</v>
      </c>
      <c r="E74" t="s">
        <v>46</v>
      </c>
      <c r="F74" t="s">
        <v>47</v>
      </c>
      <c r="G74" s="16">
        <v>70500</v>
      </c>
      <c r="H74" s="16">
        <v>21900</v>
      </c>
      <c r="I74" s="21">
        <f t="shared" si="8"/>
        <v>31.063829787234042</v>
      </c>
      <c r="J74" s="16">
        <v>58981</v>
      </c>
      <c r="K74" s="16">
        <f>G74-54769</f>
        <v>15731</v>
      </c>
      <c r="L74" s="16">
        <v>4212</v>
      </c>
      <c r="M74" s="31">
        <v>32.403703</v>
      </c>
      <c r="N74" s="35">
        <v>100</v>
      </c>
      <c r="O74" s="40">
        <v>0.08</v>
      </c>
      <c r="P74" s="40">
        <v>0.08</v>
      </c>
      <c r="Q74" s="16">
        <f t="shared" si="9"/>
        <v>485.46920702241965</v>
      </c>
      <c r="R74" s="16">
        <f t="shared" si="10"/>
        <v>196637.5</v>
      </c>
      <c r="S74" s="45">
        <f t="shared" si="11"/>
        <v>4.5141758494031219</v>
      </c>
      <c r="T74" s="40">
        <v>35</v>
      </c>
      <c r="U74" s="6" t="s">
        <v>55</v>
      </c>
      <c r="X74" t="s">
        <v>56</v>
      </c>
      <c r="Y74">
        <v>0</v>
      </c>
      <c r="Z74">
        <v>1</v>
      </c>
      <c r="AA74" s="8">
        <v>37014</v>
      </c>
      <c r="AC74" s="7" t="s">
        <v>57</v>
      </c>
      <c r="AD74" t="s">
        <v>58</v>
      </c>
    </row>
    <row r="75" spans="1:30" x14ac:dyDescent="0.25">
      <c r="A75" t="s">
        <v>221</v>
      </c>
      <c r="B75" t="s">
        <v>222</v>
      </c>
      <c r="C75" s="26">
        <v>44316</v>
      </c>
      <c r="D75" s="16">
        <v>84000</v>
      </c>
      <c r="E75" t="s">
        <v>61</v>
      </c>
      <c r="F75" t="s">
        <v>47</v>
      </c>
      <c r="G75" s="16">
        <v>84000</v>
      </c>
      <c r="H75" s="16">
        <v>22000</v>
      </c>
      <c r="I75" s="21">
        <f t="shared" si="8"/>
        <v>26.190476190476193</v>
      </c>
      <c r="J75" s="16">
        <v>70480</v>
      </c>
      <c r="K75" s="16">
        <f>G75-66268</f>
        <v>17732</v>
      </c>
      <c r="L75" s="16">
        <v>4212</v>
      </c>
      <c r="M75" s="31">
        <v>32.403703</v>
      </c>
      <c r="N75" s="35">
        <v>100</v>
      </c>
      <c r="O75" s="40">
        <v>0.08</v>
      </c>
      <c r="P75" s="40">
        <v>0.08</v>
      </c>
      <c r="Q75" s="16">
        <f t="shared" si="9"/>
        <v>547.22140861493517</v>
      </c>
      <c r="R75" s="16">
        <f t="shared" si="10"/>
        <v>221650</v>
      </c>
      <c r="S75" s="45">
        <f t="shared" si="11"/>
        <v>5.0883838383838382</v>
      </c>
      <c r="T75" s="40">
        <v>35</v>
      </c>
      <c r="U75" s="6" t="s">
        <v>55</v>
      </c>
      <c r="X75" t="s">
        <v>56</v>
      </c>
      <c r="Y75">
        <v>0</v>
      </c>
      <c r="Z75">
        <v>1</v>
      </c>
      <c r="AA75" s="8">
        <v>40583</v>
      </c>
      <c r="AC75" s="7" t="s">
        <v>57</v>
      </c>
      <c r="AD75" t="s">
        <v>58</v>
      </c>
    </row>
    <row r="76" spans="1:30" x14ac:dyDescent="0.25">
      <c r="A76" t="s">
        <v>180</v>
      </c>
      <c r="B76" t="s">
        <v>181</v>
      </c>
      <c r="C76" s="26">
        <v>44887</v>
      </c>
      <c r="D76" s="16">
        <v>71000</v>
      </c>
      <c r="E76" t="s">
        <v>46</v>
      </c>
      <c r="F76" t="s">
        <v>47</v>
      </c>
      <c r="G76" s="16">
        <v>71000</v>
      </c>
      <c r="H76" s="16">
        <v>21000</v>
      </c>
      <c r="I76" s="21">
        <f t="shared" si="8"/>
        <v>29.577464788732392</v>
      </c>
      <c r="J76" s="16">
        <v>57147</v>
      </c>
      <c r="K76" s="16">
        <f>G76-53057</f>
        <v>17943</v>
      </c>
      <c r="L76" s="16">
        <v>4090</v>
      </c>
      <c r="M76" s="31">
        <v>31.464265000000001</v>
      </c>
      <c r="N76" s="35">
        <v>110</v>
      </c>
      <c r="O76" s="40">
        <v>7.5999999999999998E-2</v>
      </c>
      <c r="P76" s="40">
        <v>7.5999999999999998E-2</v>
      </c>
      <c r="Q76" s="16">
        <f t="shared" si="9"/>
        <v>570.26598269497151</v>
      </c>
      <c r="R76" s="16">
        <f t="shared" si="10"/>
        <v>236092.10526315789</v>
      </c>
      <c r="S76" s="45">
        <f t="shared" si="11"/>
        <v>5.4199289546179497</v>
      </c>
      <c r="T76" s="40">
        <v>30</v>
      </c>
      <c r="U76" s="6" t="s">
        <v>55</v>
      </c>
      <c r="X76" t="s">
        <v>56</v>
      </c>
      <c r="Y76">
        <v>0</v>
      </c>
      <c r="Z76">
        <v>1</v>
      </c>
      <c r="AA76" s="8">
        <v>37012</v>
      </c>
      <c r="AC76" s="7" t="s">
        <v>57</v>
      </c>
      <c r="AD76" t="s">
        <v>58</v>
      </c>
    </row>
    <row r="77" spans="1:30" x14ac:dyDescent="0.25">
      <c r="A77" t="s">
        <v>140</v>
      </c>
      <c r="B77" t="s">
        <v>141</v>
      </c>
      <c r="C77" s="26">
        <v>44783</v>
      </c>
      <c r="D77" s="16">
        <v>46000</v>
      </c>
      <c r="E77" t="s">
        <v>46</v>
      </c>
      <c r="F77" t="s">
        <v>47</v>
      </c>
      <c r="G77" s="16">
        <v>46000</v>
      </c>
      <c r="H77" s="16">
        <v>11500</v>
      </c>
      <c r="I77" s="21">
        <f t="shared" si="8"/>
        <v>25</v>
      </c>
      <c r="J77" s="16">
        <v>31722</v>
      </c>
      <c r="K77" s="16">
        <f>G77-27822</f>
        <v>18178</v>
      </c>
      <c r="L77" s="16">
        <v>3900</v>
      </c>
      <c r="M77" s="31">
        <v>30</v>
      </c>
      <c r="N77" s="35">
        <v>100</v>
      </c>
      <c r="O77" s="40">
        <v>6.9000000000000006E-2</v>
      </c>
      <c r="P77" s="40">
        <v>6.9000000000000006E-2</v>
      </c>
      <c r="Q77" s="16">
        <f t="shared" si="9"/>
        <v>605.93333333333328</v>
      </c>
      <c r="R77" s="16">
        <f t="shared" si="10"/>
        <v>263449.27536231885</v>
      </c>
      <c r="S77" s="45">
        <f t="shared" si="11"/>
        <v>6.0479631625876689</v>
      </c>
      <c r="T77" s="40">
        <v>30</v>
      </c>
      <c r="U77" s="6" t="s">
        <v>55</v>
      </c>
      <c r="X77" t="s">
        <v>56</v>
      </c>
      <c r="Y77">
        <v>0</v>
      </c>
      <c r="Z77">
        <v>1</v>
      </c>
      <c r="AA77" s="8">
        <v>37007</v>
      </c>
      <c r="AC77" s="7" t="s">
        <v>57</v>
      </c>
      <c r="AD77" t="s">
        <v>58</v>
      </c>
    </row>
    <row r="78" spans="1:30" x14ac:dyDescent="0.25">
      <c r="A78" t="s">
        <v>174</v>
      </c>
      <c r="B78" t="s">
        <v>175</v>
      </c>
      <c r="C78" s="26">
        <v>44379</v>
      </c>
      <c r="D78" s="16">
        <v>98500</v>
      </c>
      <c r="E78" t="s">
        <v>85</v>
      </c>
      <c r="F78" t="s">
        <v>135</v>
      </c>
      <c r="G78" s="16">
        <v>98500</v>
      </c>
      <c r="H78" s="16">
        <v>25500</v>
      </c>
      <c r="I78" s="21">
        <f t="shared" si="8"/>
        <v>25.888324873096447</v>
      </c>
      <c r="J78" s="16">
        <v>83496</v>
      </c>
      <c r="K78" s="16">
        <f>G78-79406</f>
        <v>19094</v>
      </c>
      <c r="L78" s="16">
        <v>4090</v>
      </c>
      <c r="M78" s="31">
        <v>31.464265000000001</v>
      </c>
      <c r="N78" s="35">
        <v>110</v>
      </c>
      <c r="O78" s="40">
        <v>7.5999999999999998E-2</v>
      </c>
      <c r="P78" s="40">
        <v>7.5999999999999998E-2</v>
      </c>
      <c r="Q78" s="16">
        <f t="shared" si="9"/>
        <v>606.84716455318437</v>
      </c>
      <c r="R78" s="16">
        <f t="shared" si="10"/>
        <v>251236.84210526317</v>
      </c>
      <c r="S78" s="45">
        <f t="shared" si="11"/>
        <v>5.7676042723889616</v>
      </c>
      <c r="T78" s="40">
        <v>30</v>
      </c>
      <c r="U78" s="6" t="s">
        <v>55</v>
      </c>
      <c r="X78" t="s">
        <v>56</v>
      </c>
      <c r="Y78">
        <v>0</v>
      </c>
      <c r="Z78">
        <v>1</v>
      </c>
      <c r="AA78" s="8">
        <v>37924</v>
      </c>
      <c r="AC78" s="7" t="s">
        <v>57</v>
      </c>
      <c r="AD78" t="s">
        <v>58</v>
      </c>
    </row>
    <row r="79" spans="1:30" x14ac:dyDescent="0.25">
      <c r="A79" t="s">
        <v>188</v>
      </c>
      <c r="B79" t="s">
        <v>189</v>
      </c>
      <c r="C79" s="26">
        <v>44987</v>
      </c>
      <c r="D79" s="16">
        <v>65000</v>
      </c>
      <c r="E79" t="s">
        <v>46</v>
      </c>
      <c r="F79" t="s">
        <v>47</v>
      </c>
      <c r="G79" s="16">
        <v>65000</v>
      </c>
      <c r="H79" s="16">
        <v>18400</v>
      </c>
      <c r="I79" s="21">
        <f t="shared" si="8"/>
        <v>28.307692307692307</v>
      </c>
      <c r="J79" s="16">
        <v>49512</v>
      </c>
      <c r="K79" s="16">
        <f>G79-45422</f>
        <v>19578</v>
      </c>
      <c r="L79" s="16">
        <v>4090</v>
      </c>
      <c r="M79" s="31">
        <v>31.464265000000001</v>
      </c>
      <c r="N79" s="35">
        <v>110</v>
      </c>
      <c r="O79" s="40">
        <v>7.5999999999999998E-2</v>
      </c>
      <c r="P79" s="40">
        <v>7.5999999999999998E-2</v>
      </c>
      <c r="Q79" s="16">
        <f t="shared" si="9"/>
        <v>622.2296945439532</v>
      </c>
      <c r="R79" s="16">
        <f t="shared" si="10"/>
        <v>257605.26315789475</v>
      </c>
      <c r="S79" s="45">
        <f t="shared" si="11"/>
        <v>5.913803102798318</v>
      </c>
      <c r="T79" s="40">
        <v>30</v>
      </c>
      <c r="U79" s="6" t="s">
        <v>55</v>
      </c>
      <c r="X79" t="s">
        <v>56</v>
      </c>
      <c r="Y79">
        <v>0</v>
      </c>
      <c r="Z79">
        <v>1</v>
      </c>
      <c r="AA79" s="8">
        <v>37013</v>
      </c>
      <c r="AC79" s="7" t="s">
        <v>57</v>
      </c>
      <c r="AD79" t="s">
        <v>58</v>
      </c>
    </row>
    <row r="80" spans="1:30" x14ac:dyDescent="0.25">
      <c r="A80" t="s">
        <v>211</v>
      </c>
      <c r="B80" t="s">
        <v>212</v>
      </c>
      <c r="C80" s="26">
        <v>44295</v>
      </c>
      <c r="D80" s="16">
        <v>60000</v>
      </c>
      <c r="E80" t="s">
        <v>61</v>
      </c>
      <c r="F80" t="s">
        <v>47</v>
      </c>
      <c r="G80" s="16">
        <v>60000</v>
      </c>
      <c r="H80" s="16">
        <v>13600</v>
      </c>
      <c r="I80" s="21">
        <f t="shared" si="8"/>
        <v>22.666666666666664</v>
      </c>
      <c r="J80" s="16">
        <v>45201</v>
      </c>
      <c r="K80" s="16">
        <f>G80-41301</f>
        <v>18699</v>
      </c>
      <c r="L80" s="16">
        <v>3900</v>
      </c>
      <c r="M80" s="31">
        <v>30</v>
      </c>
      <c r="N80" s="35">
        <v>100</v>
      </c>
      <c r="O80" s="40">
        <v>6.9000000000000006E-2</v>
      </c>
      <c r="P80" s="40">
        <v>6.9000000000000006E-2</v>
      </c>
      <c r="Q80" s="16">
        <f t="shared" si="9"/>
        <v>623.29999999999995</v>
      </c>
      <c r="R80" s="16">
        <f t="shared" si="10"/>
        <v>271000</v>
      </c>
      <c r="S80" s="45">
        <f t="shared" si="11"/>
        <v>6.2213039485766757</v>
      </c>
      <c r="T80" s="40">
        <v>30</v>
      </c>
      <c r="U80" s="6" t="s">
        <v>55</v>
      </c>
      <c r="X80" t="s">
        <v>56</v>
      </c>
      <c r="Y80">
        <v>0</v>
      </c>
      <c r="Z80">
        <v>1</v>
      </c>
      <c r="AA80" s="8">
        <v>37011</v>
      </c>
      <c r="AC80" s="7" t="s">
        <v>57</v>
      </c>
      <c r="AD80" t="s">
        <v>58</v>
      </c>
    </row>
    <row r="81" spans="1:57" x14ac:dyDescent="0.25">
      <c r="A81" t="s">
        <v>95</v>
      </c>
      <c r="B81" t="s">
        <v>96</v>
      </c>
      <c r="C81" s="26">
        <v>44756</v>
      </c>
      <c r="D81" s="16">
        <v>72000</v>
      </c>
      <c r="E81" t="s">
        <v>46</v>
      </c>
      <c r="F81" t="s">
        <v>47</v>
      </c>
      <c r="G81" s="16">
        <v>72000</v>
      </c>
      <c r="H81" s="16">
        <v>19900</v>
      </c>
      <c r="I81" s="21">
        <f t="shared" si="8"/>
        <v>27.638888888888889</v>
      </c>
      <c r="J81" s="16">
        <v>55709</v>
      </c>
      <c r="K81" s="16">
        <f>G81-51616</f>
        <v>20384</v>
      </c>
      <c r="L81" s="16">
        <v>4093</v>
      </c>
      <c r="M81" s="31">
        <v>31.485710999999998</v>
      </c>
      <c r="N81" s="35">
        <v>110.150002</v>
      </c>
      <c r="O81" s="40">
        <v>7.5999999999999998E-2</v>
      </c>
      <c r="P81" s="40">
        <v>7.5999999999999998E-2</v>
      </c>
      <c r="Q81" s="16">
        <f t="shared" si="9"/>
        <v>647.40478625367552</v>
      </c>
      <c r="R81" s="16">
        <f t="shared" si="10"/>
        <v>268210.5263157895</v>
      </c>
      <c r="S81" s="45">
        <f t="shared" si="11"/>
        <v>6.1572664443477843</v>
      </c>
      <c r="T81" s="40">
        <v>30</v>
      </c>
      <c r="U81" s="6" t="s">
        <v>55</v>
      </c>
      <c r="X81" t="s">
        <v>56</v>
      </c>
      <c r="Y81">
        <v>0</v>
      </c>
      <c r="Z81">
        <v>1</v>
      </c>
      <c r="AA81" s="8">
        <v>40583</v>
      </c>
      <c r="AC81" s="7" t="s">
        <v>57</v>
      </c>
      <c r="AD81" t="s">
        <v>58</v>
      </c>
    </row>
    <row r="82" spans="1:57" x14ac:dyDescent="0.25">
      <c r="A82" t="s">
        <v>330</v>
      </c>
      <c r="B82" t="s">
        <v>331</v>
      </c>
      <c r="C82" s="26">
        <v>44614</v>
      </c>
      <c r="D82" s="16">
        <v>71000</v>
      </c>
      <c r="E82" t="s">
        <v>61</v>
      </c>
      <c r="F82" t="s">
        <v>47</v>
      </c>
      <c r="G82" s="16">
        <v>71000</v>
      </c>
      <c r="H82" s="16">
        <v>13700</v>
      </c>
      <c r="I82" s="21">
        <f t="shared" si="8"/>
        <v>19.295774647887324</v>
      </c>
      <c r="J82" s="16">
        <v>46261</v>
      </c>
      <c r="K82" s="16">
        <f>G82-40789</f>
        <v>30211</v>
      </c>
      <c r="L82" s="16">
        <v>5472</v>
      </c>
      <c r="M82" s="31">
        <v>45.596823999999998</v>
      </c>
      <c r="N82" s="35">
        <v>107.389999</v>
      </c>
      <c r="O82" s="40">
        <v>0.108</v>
      </c>
      <c r="P82" s="40">
        <v>0.108</v>
      </c>
      <c r="Q82" s="16">
        <f t="shared" si="9"/>
        <v>662.56807710993212</v>
      </c>
      <c r="R82" s="16">
        <f t="shared" si="10"/>
        <v>279731.48148148146</v>
      </c>
      <c r="S82" s="45">
        <f t="shared" si="11"/>
        <v>6.4217511818521915</v>
      </c>
      <c r="T82" s="40">
        <v>44</v>
      </c>
      <c r="U82" s="6" t="s">
        <v>323</v>
      </c>
      <c r="X82" t="s">
        <v>324</v>
      </c>
      <c r="Y82">
        <v>0</v>
      </c>
      <c r="Z82">
        <v>1</v>
      </c>
      <c r="AA82" s="8">
        <v>37026</v>
      </c>
      <c r="AC82" s="7" t="s">
        <v>57</v>
      </c>
      <c r="AD82" t="s">
        <v>58</v>
      </c>
    </row>
    <row r="83" spans="1:57" x14ac:dyDescent="0.25">
      <c r="A83" t="s">
        <v>286</v>
      </c>
      <c r="B83" t="s">
        <v>287</v>
      </c>
      <c r="C83" s="26">
        <v>44712</v>
      </c>
      <c r="D83" s="16">
        <v>68000</v>
      </c>
      <c r="E83" t="s">
        <v>46</v>
      </c>
      <c r="F83" t="s">
        <v>47</v>
      </c>
      <c r="G83" s="16">
        <v>68000</v>
      </c>
      <c r="H83" s="16">
        <v>18000</v>
      </c>
      <c r="I83" s="21">
        <f t="shared" si="8"/>
        <v>26.47058823529412</v>
      </c>
      <c r="J83" s="16">
        <v>48625</v>
      </c>
      <c r="K83" s="16">
        <f>G83-43902</f>
        <v>24098</v>
      </c>
      <c r="L83" s="16">
        <v>4723</v>
      </c>
      <c r="M83" s="31">
        <v>36.331803999999998</v>
      </c>
      <c r="N83" s="35">
        <v>110</v>
      </c>
      <c r="O83" s="40">
        <v>0.10100000000000001</v>
      </c>
      <c r="P83" s="40">
        <v>0.10100000000000001</v>
      </c>
      <c r="Q83" s="16">
        <f t="shared" si="9"/>
        <v>663.27562484923681</v>
      </c>
      <c r="R83" s="16">
        <f t="shared" si="10"/>
        <v>238594.05940594058</v>
      </c>
      <c r="S83" s="45">
        <f t="shared" si="11"/>
        <v>5.4773659184100225</v>
      </c>
      <c r="T83" s="40">
        <v>40</v>
      </c>
      <c r="U83" s="6" t="s">
        <v>55</v>
      </c>
      <c r="X83" t="s">
        <v>56</v>
      </c>
      <c r="Y83">
        <v>0</v>
      </c>
      <c r="Z83">
        <v>1</v>
      </c>
      <c r="AA83" t="s">
        <v>50</v>
      </c>
      <c r="AC83" s="7" t="s">
        <v>57</v>
      </c>
      <c r="AD83" t="s">
        <v>58</v>
      </c>
    </row>
    <row r="84" spans="1:57" x14ac:dyDescent="0.25">
      <c r="A84" t="s">
        <v>44</v>
      </c>
      <c r="B84" t="s">
        <v>45</v>
      </c>
      <c r="C84" s="26">
        <v>44757</v>
      </c>
      <c r="D84" s="16">
        <v>105000</v>
      </c>
      <c r="E84" t="s">
        <v>46</v>
      </c>
      <c r="F84" t="s">
        <v>47</v>
      </c>
      <c r="G84" s="16">
        <v>105000</v>
      </c>
      <c r="H84" s="16">
        <v>25800</v>
      </c>
      <c r="I84" s="21">
        <f t="shared" si="8"/>
        <v>24.571428571428573</v>
      </c>
      <c r="J84" s="16">
        <v>56038</v>
      </c>
      <c r="K84" s="16">
        <f>G84-42164</f>
        <v>62836</v>
      </c>
      <c r="L84" s="16">
        <v>13874</v>
      </c>
      <c r="M84" s="31">
        <v>93.73</v>
      </c>
      <c r="N84" s="35">
        <v>45.5</v>
      </c>
      <c r="O84" s="40">
        <v>9.8000000000000004E-2</v>
      </c>
      <c r="P84" s="40">
        <v>9.8000000000000004E-2</v>
      </c>
      <c r="Q84" s="16">
        <f t="shared" si="9"/>
        <v>670.39368398591694</v>
      </c>
      <c r="R84" s="16">
        <f t="shared" si="10"/>
        <v>641183.67346938769</v>
      </c>
      <c r="S84" s="45">
        <f t="shared" si="11"/>
        <v>14.719551732538743</v>
      </c>
      <c r="T84" s="40">
        <v>93.73</v>
      </c>
      <c r="U84" s="6" t="s">
        <v>48</v>
      </c>
      <c r="X84" t="s">
        <v>49</v>
      </c>
      <c r="Y84">
        <v>0</v>
      </c>
      <c r="Z84">
        <v>1</v>
      </c>
      <c r="AA84" t="s">
        <v>50</v>
      </c>
      <c r="AB84" t="s">
        <v>51</v>
      </c>
      <c r="AC84" s="7" t="s">
        <v>52</v>
      </c>
      <c r="AL84" s="3"/>
      <c r="BC84" s="3"/>
      <c r="BE84" s="3"/>
    </row>
    <row r="85" spans="1:57" x14ac:dyDescent="0.25">
      <c r="A85" t="s">
        <v>230</v>
      </c>
      <c r="B85" t="s">
        <v>231</v>
      </c>
      <c r="C85" s="26">
        <v>44732</v>
      </c>
      <c r="D85" s="16">
        <v>98000</v>
      </c>
      <c r="E85" t="s">
        <v>46</v>
      </c>
      <c r="F85" t="s">
        <v>47</v>
      </c>
      <c r="G85" s="16">
        <v>98000</v>
      </c>
      <c r="H85" s="16">
        <v>30400</v>
      </c>
      <c r="I85" s="21">
        <f t="shared" si="8"/>
        <v>31.020408163265305</v>
      </c>
      <c r="J85" s="16">
        <v>81672</v>
      </c>
      <c r="K85" s="16">
        <f>G85-77772</f>
        <v>20228</v>
      </c>
      <c r="L85" s="16">
        <v>3900</v>
      </c>
      <c r="M85" s="31">
        <v>30</v>
      </c>
      <c r="N85" s="35">
        <v>100</v>
      </c>
      <c r="O85" s="40">
        <v>6.9000000000000006E-2</v>
      </c>
      <c r="P85" s="40">
        <v>6.9000000000000006E-2</v>
      </c>
      <c r="Q85" s="16">
        <f t="shared" si="9"/>
        <v>674.26666666666665</v>
      </c>
      <c r="R85" s="16">
        <f t="shared" si="10"/>
        <v>293159.42028985504</v>
      </c>
      <c r="S85" s="45">
        <f t="shared" si="11"/>
        <v>6.7300142398956622</v>
      </c>
      <c r="T85" s="40">
        <v>30</v>
      </c>
      <c r="U85" s="6" t="s">
        <v>55</v>
      </c>
      <c r="X85" t="s">
        <v>56</v>
      </c>
      <c r="Y85">
        <v>0</v>
      </c>
      <c r="Z85">
        <v>1</v>
      </c>
      <c r="AA85" s="8">
        <v>40828</v>
      </c>
      <c r="AC85" s="7" t="s">
        <v>57</v>
      </c>
      <c r="AD85" t="s">
        <v>58</v>
      </c>
    </row>
    <row r="86" spans="1:57" x14ac:dyDescent="0.25">
      <c r="A86" t="s">
        <v>319</v>
      </c>
      <c r="B86" t="s">
        <v>320</v>
      </c>
      <c r="C86" s="26">
        <v>44725</v>
      </c>
      <c r="D86" s="16">
        <v>60000</v>
      </c>
      <c r="E86" t="s">
        <v>46</v>
      </c>
      <c r="F86" t="s">
        <v>47</v>
      </c>
      <c r="G86" s="16">
        <v>60000</v>
      </c>
      <c r="H86" s="16">
        <v>13400</v>
      </c>
      <c r="I86" s="21">
        <f t="shared" si="8"/>
        <v>22.333333333333332</v>
      </c>
      <c r="J86" s="16">
        <v>35732</v>
      </c>
      <c r="K86" s="16">
        <f>G86-29963</f>
        <v>30037</v>
      </c>
      <c r="L86" s="16">
        <v>5769</v>
      </c>
      <c r="M86" s="31">
        <v>44.375669000000002</v>
      </c>
      <c r="N86" s="35">
        <v>109.400002</v>
      </c>
      <c r="O86" s="40">
        <v>0.151</v>
      </c>
      <c r="P86" s="40">
        <v>0.151</v>
      </c>
      <c r="Q86" s="16">
        <f t="shared" si="9"/>
        <v>676.87993616501865</v>
      </c>
      <c r="R86" s="16">
        <f t="shared" si="10"/>
        <v>198920.5298013245</v>
      </c>
      <c r="S86" s="45">
        <f t="shared" si="11"/>
        <v>4.5665870018669539</v>
      </c>
      <c r="T86" s="40">
        <v>60</v>
      </c>
      <c r="U86" s="6" t="s">
        <v>55</v>
      </c>
      <c r="X86" t="s">
        <v>56</v>
      </c>
      <c r="Y86">
        <v>0</v>
      </c>
      <c r="Z86">
        <v>1</v>
      </c>
      <c r="AA86" s="8">
        <v>37027</v>
      </c>
      <c r="AC86" s="7" t="s">
        <v>57</v>
      </c>
      <c r="AD86" t="s">
        <v>58</v>
      </c>
    </row>
    <row r="87" spans="1:57" x14ac:dyDescent="0.25">
      <c r="A87" t="s">
        <v>317</v>
      </c>
      <c r="B87" t="s">
        <v>318</v>
      </c>
      <c r="C87" s="26">
        <v>44407</v>
      </c>
      <c r="D87" s="16">
        <v>78400</v>
      </c>
      <c r="E87" t="s">
        <v>46</v>
      </c>
      <c r="F87" t="s">
        <v>47</v>
      </c>
      <c r="G87" s="16">
        <v>78400</v>
      </c>
      <c r="H87" s="16">
        <v>16800</v>
      </c>
      <c r="I87" s="21">
        <f t="shared" si="8"/>
        <v>21.428571428571427</v>
      </c>
      <c r="J87" s="16">
        <v>53263</v>
      </c>
      <c r="K87" s="16">
        <f>G87-47494</f>
        <v>30906</v>
      </c>
      <c r="L87" s="16">
        <v>5769</v>
      </c>
      <c r="M87" s="31">
        <v>44.375669000000002</v>
      </c>
      <c r="N87" s="35">
        <v>109.400002</v>
      </c>
      <c r="O87" s="40">
        <v>0.151</v>
      </c>
      <c r="P87" s="40">
        <v>0.151</v>
      </c>
      <c r="Q87" s="16">
        <f t="shared" si="9"/>
        <v>696.46273952512126</v>
      </c>
      <c r="R87" s="16">
        <f t="shared" si="10"/>
        <v>204675.49668874172</v>
      </c>
      <c r="S87" s="45">
        <f t="shared" si="11"/>
        <v>4.6987028624596352</v>
      </c>
      <c r="T87" s="40">
        <v>60</v>
      </c>
      <c r="U87" s="6" t="s">
        <v>55</v>
      </c>
      <c r="X87" t="s">
        <v>56</v>
      </c>
      <c r="Y87">
        <v>0</v>
      </c>
      <c r="Z87">
        <v>1</v>
      </c>
      <c r="AA87" s="8">
        <v>37027</v>
      </c>
      <c r="AC87" s="7" t="s">
        <v>57</v>
      </c>
      <c r="AD87" t="s">
        <v>58</v>
      </c>
    </row>
    <row r="88" spans="1:57" x14ac:dyDescent="0.25">
      <c r="A88" t="s">
        <v>298</v>
      </c>
      <c r="B88" t="s">
        <v>299</v>
      </c>
      <c r="C88" s="26">
        <v>44440</v>
      </c>
      <c r="D88" s="16">
        <v>89000</v>
      </c>
      <c r="E88" t="s">
        <v>46</v>
      </c>
      <c r="F88" t="s">
        <v>135</v>
      </c>
      <c r="G88" s="16">
        <v>89000</v>
      </c>
      <c r="H88" s="16">
        <v>19600</v>
      </c>
      <c r="I88" s="21">
        <f t="shared" si="8"/>
        <v>22.022471910112358</v>
      </c>
      <c r="J88" s="16">
        <v>62113</v>
      </c>
      <c r="K88" s="16">
        <f>G88-55947</f>
        <v>33053</v>
      </c>
      <c r="L88" s="16">
        <v>6166</v>
      </c>
      <c r="M88" s="31">
        <v>47.434165</v>
      </c>
      <c r="N88" s="35">
        <v>100</v>
      </c>
      <c r="O88" s="40">
        <v>0.17199999999999999</v>
      </c>
      <c r="P88" s="40">
        <v>0.17199999999999999</v>
      </c>
      <c r="Q88" s="16">
        <f t="shared" si="9"/>
        <v>696.818421911717</v>
      </c>
      <c r="R88" s="16">
        <f t="shared" si="10"/>
        <v>192168.60465116281</v>
      </c>
      <c r="S88" s="45">
        <f t="shared" si="11"/>
        <v>4.4115841288145736</v>
      </c>
      <c r="T88" s="40">
        <v>75</v>
      </c>
      <c r="U88" s="6" t="s">
        <v>55</v>
      </c>
      <c r="X88" t="s">
        <v>56</v>
      </c>
      <c r="Y88">
        <v>0</v>
      </c>
      <c r="Z88">
        <v>1</v>
      </c>
      <c r="AA88" s="8">
        <v>40583</v>
      </c>
      <c r="AC88" s="7" t="s">
        <v>57</v>
      </c>
      <c r="AD88" t="s">
        <v>58</v>
      </c>
    </row>
    <row r="89" spans="1:57" x14ac:dyDescent="0.25">
      <c r="A89" t="s">
        <v>244</v>
      </c>
      <c r="B89" t="s">
        <v>245</v>
      </c>
      <c r="C89" s="26">
        <v>44680</v>
      </c>
      <c r="D89" s="16">
        <v>70000</v>
      </c>
      <c r="E89" t="s">
        <v>46</v>
      </c>
      <c r="F89" t="s">
        <v>64</v>
      </c>
      <c r="G89" s="16">
        <v>70000</v>
      </c>
      <c r="H89" s="16">
        <v>13600</v>
      </c>
      <c r="I89" s="21">
        <f t="shared" si="8"/>
        <v>19.428571428571427</v>
      </c>
      <c r="J89" s="16">
        <v>36705</v>
      </c>
      <c r="K89" s="16">
        <f>G89-29285</f>
        <v>40715</v>
      </c>
      <c r="L89" s="16">
        <v>7420</v>
      </c>
      <c r="M89" s="31">
        <v>57.077666000000001</v>
      </c>
      <c r="N89" s="35">
        <v>200</v>
      </c>
      <c r="O89" s="40">
        <v>0.125</v>
      </c>
      <c r="P89" s="40">
        <v>5.6000000000000001E-2</v>
      </c>
      <c r="Q89" s="16">
        <f t="shared" si="9"/>
        <v>713.32629473671886</v>
      </c>
      <c r="R89" s="16">
        <f t="shared" si="10"/>
        <v>325720</v>
      </c>
      <c r="S89" s="45">
        <f t="shared" si="11"/>
        <v>7.477502295684114</v>
      </c>
      <c r="T89" s="40">
        <v>54.44</v>
      </c>
      <c r="U89" s="6" t="s">
        <v>55</v>
      </c>
      <c r="W89" t="s">
        <v>246</v>
      </c>
      <c r="X89" t="s">
        <v>56</v>
      </c>
      <c r="Y89">
        <v>0</v>
      </c>
      <c r="Z89">
        <v>1</v>
      </c>
      <c r="AA89" s="8">
        <v>37007</v>
      </c>
      <c r="AC89" s="7" t="s">
        <v>57</v>
      </c>
      <c r="AD89" t="s">
        <v>58</v>
      </c>
    </row>
    <row r="90" spans="1:57" x14ac:dyDescent="0.25">
      <c r="A90" t="s">
        <v>170</v>
      </c>
      <c r="B90" t="s">
        <v>171</v>
      </c>
      <c r="C90" s="26">
        <v>44635</v>
      </c>
      <c r="D90" s="16">
        <v>68000</v>
      </c>
      <c r="E90" t="s">
        <v>46</v>
      </c>
      <c r="F90" t="s">
        <v>47</v>
      </c>
      <c r="G90" s="16">
        <v>68000</v>
      </c>
      <c r="H90" s="16">
        <v>16400</v>
      </c>
      <c r="I90" s="21">
        <f t="shared" si="8"/>
        <v>24.117647058823529</v>
      </c>
      <c r="J90" s="16">
        <v>52034</v>
      </c>
      <c r="K90" s="16">
        <f>G90-48672</f>
        <v>19328</v>
      </c>
      <c r="L90" s="16">
        <v>3362</v>
      </c>
      <c r="M90" s="31">
        <v>25.865034000000001</v>
      </c>
      <c r="N90" s="35">
        <v>100</v>
      </c>
      <c r="O90" s="40">
        <v>5.0999999999999997E-2</v>
      </c>
      <c r="P90" s="40">
        <v>5.0999999999999997E-2</v>
      </c>
      <c r="Q90" s="16">
        <f t="shared" si="9"/>
        <v>747.26366104912131</v>
      </c>
      <c r="R90" s="16">
        <f t="shared" si="10"/>
        <v>378980.39215686277</v>
      </c>
      <c r="S90" s="45">
        <f t="shared" si="11"/>
        <v>8.7001926574119093</v>
      </c>
      <c r="T90" s="40">
        <v>22.3</v>
      </c>
      <c r="U90" s="6" t="s">
        <v>55</v>
      </c>
      <c r="X90" t="s">
        <v>56</v>
      </c>
      <c r="Y90">
        <v>0</v>
      </c>
      <c r="Z90">
        <v>1</v>
      </c>
      <c r="AA90" s="8">
        <v>37012</v>
      </c>
      <c r="AC90" s="7" t="s">
        <v>57</v>
      </c>
      <c r="AD90" t="s">
        <v>58</v>
      </c>
    </row>
    <row r="91" spans="1:57" x14ac:dyDescent="0.25">
      <c r="A91" t="s">
        <v>332</v>
      </c>
      <c r="B91" t="s">
        <v>333</v>
      </c>
      <c r="C91" s="26">
        <v>44778</v>
      </c>
      <c r="D91" s="16">
        <v>76000</v>
      </c>
      <c r="E91" t="s">
        <v>61</v>
      </c>
      <c r="F91" t="s">
        <v>47</v>
      </c>
      <c r="G91" s="16">
        <v>76000</v>
      </c>
      <c r="H91" s="16">
        <v>17300</v>
      </c>
      <c r="I91" s="21">
        <f t="shared" si="8"/>
        <v>22.763157894736842</v>
      </c>
      <c r="J91" s="16">
        <v>47285</v>
      </c>
      <c r="K91" s="16">
        <f>G91-41856</f>
        <v>34144</v>
      </c>
      <c r="L91" s="16">
        <v>5429</v>
      </c>
      <c r="M91" s="31">
        <v>45.239832</v>
      </c>
      <c r="N91" s="35">
        <v>105.714996</v>
      </c>
      <c r="O91" s="40">
        <v>0.107</v>
      </c>
      <c r="P91" s="40">
        <v>0.107</v>
      </c>
      <c r="Q91" s="16">
        <f t="shared" si="9"/>
        <v>754.73312986661847</v>
      </c>
      <c r="R91" s="16">
        <f t="shared" si="10"/>
        <v>319102.80373831774</v>
      </c>
      <c r="S91" s="45">
        <f t="shared" si="11"/>
        <v>7.3255923723213439</v>
      </c>
      <c r="T91" s="40">
        <v>44</v>
      </c>
      <c r="U91" s="6" t="s">
        <v>323</v>
      </c>
      <c r="X91" t="s">
        <v>324</v>
      </c>
      <c r="Y91">
        <v>0</v>
      </c>
      <c r="Z91">
        <v>1</v>
      </c>
      <c r="AA91" s="8">
        <v>37027</v>
      </c>
      <c r="AC91" s="7" t="s">
        <v>57</v>
      </c>
      <c r="AD91" t="s">
        <v>58</v>
      </c>
    </row>
    <row r="92" spans="1:57" x14ac:dyDescent="0.25">
      <c r="A92" t="s">
        <v>130</v>
      </c>
      <c r="B92" t="s">
        <v>131</v>
      </c>
      <c r="C92" s="26">
        <v>44588</v>
      </c>
      <c r="D92" s="16">
        <v>120000</v>
      </c>
      <c r="E92" t="s">
        <v>46</v>
      </c>
      <c r="F92" t="s">
        <v>64</v>
      </c>
      <c r="G92" s="16">
        <v>120000</v>
      </c>
      <c r="H92" s="16">
        <v>23000</v>
      </c>
      <c r="I92" s="21">
        <f t="shared" si="8"/>
        <v>19.166666666666668</v>
      </c>
      <c r="J92" s="16">
        <v>71548</v>
      </c>
      <c r="K92" s="16">
        <f>G92-61994</f>
        <v>58006</v>
      </c>
      <c r="L92" s="16">
        <v>9554</v>
      </c>
      <c r="M92" s="31">
        <v>73.484691999999995</v>
      </c>
      <c r="N92" s="35">
        <v>200</v>
      </c>
      <c r="O92" s="40">
        <v>0.20599999999999999</v>
      </c>
      <c r="P92" s="40">
        <v>0.10299999999999999</v>
      </c>
      <c r="Q92" s="16">
        <f t="shared" si="9"/>
        <v>789.36168093349295</v>
      </c>
      <c r="R92" s="16">
        <f t="shared" si="10"/>
        <v>281582.52427184465</v>
      </c>
      <c r="S92" s="45">
        <f t="shared" si="11"/>
        <v>6.4642452771314201</v>
      </c>
      <c r="T92" s="40">
        <v>90</v>
      </c>
      <c r="U92" s="6" t="s">
        <v>55</v>
      </c>
      <c r="W92" t="s">
        <v>132</v>
      </c>
      <c r="X92" t="s">
        <v>56</v>
      </c>
      <c r="Y92">
        <v>0</v>
      </c>
      <c r="Z92">
        <v>1</v>
      </c>
      <c r="AA92" t="s">
        <v>50</v>
      </c>
      <c r="AC92" s="7" t="s">
        <v>57</v>
      </c>
      <c r="AD92" t="s">
        <v>58</v>
      </c>
    </row>
    <row r="93" spans="1:57" x14ac:dyDescent="0.25">
      <c r="A93" t="s">
        <v>68</v>
      </c>
      <c r="B93" t="s">
        <v>69</v>
      </c>
      <c r="C93" s="26">
        <v>44358</v>
      </c>
      <c r="D93" s="16">
        <v>79900</v>
      </c>
      <c r="E93" t="s">
        <v>46</v>
      </c>
      <c r="F93" t="s">
        <v>47</v>
      </c>
      <c r="G93" s="16">
        <v>79900</v>
      </c>
      <c r="H93" s="16">
        <v>16200</v>
      </c>
      <c r="I93" s="21">
        <f t="shared" si="8"/>
        <v>20.275344180225282</v>
      </c>
      <c r="J93" s="16">
        <v>50872</v>
      </c>
      <c r="K93" s="16">
        <f>G93-45209</f>
        <v>34691</v>
      </c>
      <c r="L93" s="16">
        <v>5663</v>
      </c>
      <c r="M93" s="31">
        <v>43.564779000000001</v>
      </c>
      <c r="N93" s="35">
        <v>102.5</v>
      </c>
      <c r="O93" s="40">
        <v>0.14499999999999999</v>
      </c>
      <c r="P93" s="40">
        <v>0.14499999999999999</v>
      </c>
      <c r="Q93" s="16">
        <f t="shared" si="9"/>
        <v>796.30841235301568</v>
      </c>
      <c r="R93" s="16">
        <f t="shared" si="10"/>
        <v>239248.27586206899</v>
      </c>
      <c r="S93" s="45">
        <f t="shared" si="11"/>
        <v>5.4923846616636594</v>
      </c>
      <c r="T93" s="40">
        <v>61.72</v>
      </c>
      <c r="U93" s="6" t="s">
        <v>55</v>
      </c>
      <c r="X93" t="s">
        <v>56</v>
      </c>
      <c r="Y93">
        <v>0</v>
      </c>
      <c r="Z93">
        <v>1</v>
      </c>
      <c r="AA93" s="8">
        <v>37006</v>
      </c>
      <c r="AC93" s="7" t="s">
        <v>57</v>
      </c>
      <c r="AD93" t="s">
        <v>58</v>
      </c>
    </row>
    <row r="94" spans="1:57" x14ac:dyDescent="0.25">
      <c r="A94" t="s">
        <v>304</v>
      </c>
      <c r="B94" t="s">
        <v>305</v>
      </c>
      <c r="C94" s="26">
        <v>44971</v>
      </c>
      <c r="D94" s="16">
        <v>135000</v>
      </c>
      <c r="E94" t="s">
        <v>46</v>
      </c>
      <c r="F94" t="s">
        <v>47</v>
      </c>
      <c r="G94" s="16">
        <v>135000</v>
      </c>
      <c r="H94" s="16">
        <v>34300</v>
      </c>
      <c r="I94" s="21">
        <f t="shared" si="8"/>
        <v>25.407407407407405</v>
      </c>
      <c r="J94" s="16">
        <v>93961</v>
      </c>
      <c r="K94" s="16">
        <f>G94-86161</f>
        <v>48839</v>
      </c>
      <c r="L94" s="16">
        <v>7800</v>
      </c>
      <c r="M94" s="31">
        <v>60</v>
      </c>
      <c r="N94" s="35">
        <v>200</v>
      </c>
      <c r="O94" s="40">
        <v>0.13800000000000001</v>
      </c>
      <c r="P94" s="40">
        <v>6.9000000000000006E-2</v>
      </c>
      <c r="Q94" s="16">
        <f t="shared" si="9"/>
        <v>813.98333333333335</v>
      </c>
      <c r="R94" s="16">
        <f t="shared" si="10"/>
        <v>353905.79710144922</v>
      </c>
      <c r="S94" s="45">
        <f t="shared" si="11"/>
        <v>8.124559162108568</v>
      </c>
      <c r="T94" s="40">
        <v>60</v>
      </c>
      <c r="U94" s="6" t="s">
        <v>55</v>
      </c>
      <c r="W94" t="s">
        <v>306</v>
      </c>
      <c r="X94" t="s">
        <v>56</v>
      </c>
      <c r="Y94">
        <v>0</v>
      </c>
      <c r="Z94">
        <v>1</v>
      </c>
      <c r="AA94" s="8">
        <v>37095</v>
      </c>
      <c r="AC94" s="7" t="s">
        <v>57</v>
      </c>
      <c r="AD94" t="s">
        <v>58</v>
      </c>
    </row>
    <row r="95" spans="1:57" x14ac:dyDescent="0.25">
      <c r="A95" t="s">
        <v>78</v>
      </c>
      <c r="B95" t="s">
        <v>79</v>
      </c>
      <c r="C95" s="26">
        <v>44417</v>
      </c>
      <c r="D95" s="16">
        <v>130500</v>
      </c>
      <c r="E95" t="s">
        <v>61</v>
      </c>
      <c r="F95" t="s">
        <v>47</v>
      </c>
      <c r="G95" s="16">
        <v>130500</v>
      </c>
      <c r="H95" s="16">
        <v>29500</v>
      </c>
      <c r="I95" s="21">
        <f t="shared" si="8"/>
        <v>22.60536398467433</v>
      </c>
      <c r="J95" s="16">
        <v>98254</v>
      </c>
      <c r="K95" s="16">
        <f>G95-95001</f>
        <v>35499</v>
      </c>
      <c r="L95" s="16">
        <v>3253</v>
      </c>
      <c r="M95" s="31">
        <v>43.379170999999999</v>
      </c>
      <c r="N95" s="35">
        <v>164.51499899999999</v>
      </c>
      <c r="O95" s="40">
        <v>0.158</v>
      </c>
      <c r="P95" s="40">
        <v>0.158</v>
      </c>
      <c r="Q95" s="16">
        <f t="shared" si="9"/>
        <v>818.34205637539731</v>
      </c>
      <c r="R95" s="16">
        <f t="shared" si="10"/>
        <v>224677.21518987342</v>
      </c>
      <c r="S95" s="45">
        <f t="shared" si="11"/>
        <v>5.1578791365902985</v>
      </c>
      <c r="T95" s="40">
        <v>41.94</v>
      </c>
      <c r="U95" s="6" t="s">
        <v>80</v>
      </c>
      <c r="X95" t="s">
        <v>81</v>
      </c>
      <c r="Y95">
        <v>0</v>
      </c>
      <c r="Z95">
        <v>1</v>
      </c>
      <c r="AA95" s="8">
        <v>37001</v>
      </c>
      <c r="AC95" s="7" t="s">
        <v>57</v>
      </c>
      <c r="AD95" t="s">
        <v>82</v>
      </c>
    </row>
    <row r="96" spans="1:57" x14ac:dyDescent="0.25">
      <c r="A96" t="s">
        <v>236</v>
      </c>
      <c r="B96" t="s">
        <v>237</v>
      </c>
      <c r="C96" s="26">
        <v>44369</v>
      </c>
      <c r="D96" s="16">
        <v>90000</v>
      </c>
      <c r="E96" t="s">
        <v>61</v>
      </c>
      <c r="F96" t="s">
        <v>47</v>
      </c>
      <c r="G96" s="16">
        <v>90000</v>
      </c>
      <c r="H96" s="16">
        <v>21200</v>
      </c>
      <c r="I96" s="21">
        <f t="shared" si="8"/>
        <v>23.555555555555554</v>
      </c>
      <c r="J96" s="16">
        <v>67522</v>
      </c>
      <c r="K96" s="16">
        <f>G96-63310</f>
        <v>26690</v>
      </c>
      <c r="L96" s="16">
        <v>4212</v>
      </c>
      <c r="M96" s="31">
        <v>32.403703</v>
      </c>
      <c r="N96" s="35">
        <v>100</v>
      </c>
      <c r="O96" s="40">
        <v>0.08</v>
      </c>
      <c r="P96" s="40">
        <v>0.08</v>
      </c>
      <c r="Q96" s="16">
        <f t="shared" si="9"/>
        <v>823.67129460481726</v>
      </c>
      <c r="R96" s="16">
        <f t="shared" si="10"/>
        <v>333625</v>
      </c>
      <c r="S96" s="45">
        <f t="shared" si="11"/>
        <v>7.658976124885216</v>
      </c>
      <c r="T96" s="40">
        <v>35</v>
      </c>
      <c r="U96" s="6" t="s">
        <v>55</v>
      </c>
      <c r="X96" t="s">
        <v>56</v>
      </c>
      <c r="Y96">
        <v>0</v>
      </c>
      <c r="Z96">
        <v>1</v>
      </c>
      <c r="AA96" s="8">
        <v>37015</v>
      </c>
      <c r="AC96" s="7" t="s">
        <v>57</v>
      </c>
      <c r="AD96" t="s">
        <v>58</v>
      </c>
    </row>
    <row r="97" spans="1:30" x14ac:dyDescent="0.25">
      <c r="A97" t="s">
        <v>115</v>
      </c>
      <c r="B97" t="s">
        <v>116</v>
      </c>
      <c r="C97" s="26">
        <v>44932</v>
      </c>
      <c r="D97" s="16">
        <v>125000</v>
      </c>
      <c r="E97" t="s">
        <v>46</v>
      </c>
      <c r="F97" t="s">
        <v>64</v>
      </c>
      <c r="G97" s="16">
        <v>125000</v>
      </c>
      <c r="H97" s="16">
        <v>32700</v>
      </c>
      <c r="I97" s="21">
        <f t="shared" si="8"/>
        <v>26.16</v>
      </c>
      <c r="J97" s="16">
        <v>72817</v>
      </c>
      <c r="K97" s="16">
        <f>G97-42238</f>
        <v>82762</v>
      </c>
      <c r="L97" s="16">
        <v>30579</v>
      </c>
      <c r="M97" s="31">
        <v>100.14</v>
      </c>
      <c r="N97" s="35">
        <v>187.745003</v>
      </c>
      <c r="O97" s="40">
        <v>0.216</v>
      </c>
      <c r="P97" s="40">
        <v>8.5000000000000006E-2</v>
      </c>
      <c r="Q97" s="16">
        <f t="shared" si="9"/>
        <v>826.46295186738564</v>
      </c>
      <c r="R97" s="16">
        <f t="shared" si="10"/>
        <v>383157.40740740742</v>
      </c>
      <c r="S97" s="45">
        <f t="shared" si="11"/>
        <v>8.79608373295242</v>
      </c>
      <c r="T97" s="40">
        <v>100.14</v>
      </c>
      <c r="U97" s="6" t="s">
        <v>117</v>
      </c>
      <c r="W97" t="s">
        <v>118</v>
      </c>
      <c r="X97" t="s">
        <v>49</v>
      </c>
      <c r="Y97">
        <v>0</v>
      </c>
      <c r="Z97">
        <v>1</v>
      </c>
      <c r="AA97" t="s">
        <v>50</v>
      </c>
      <c r="AB97" t="s">
        <v>119</v>
      </c>
      <c r="AC97" s="7" t="s">
        <v>52</v>
      </c>
    </row>
    <row r="98" spans="1:30" x14ac:dyDescent="0.25">
      <c r="A98" t="s">
        <v>309</v>
      </c>
      <c r="B98" t="s">
        <v>310</v>
      </c>
      <c r="C98" s="26">
        <v>44588</v>
      </c>
      <c r="D98" s="16">
        <v>75000</v>
      </c>
      <c r="E98" t="s">
        <v>46</v>
      </c>
      <c r="F98" t="s">
        <v>47</v>
      </c>
      <c r="G98" s="16">
        <v>75000</v>
      </c>
      <c r="H98" s="16">
        <v>15400</v>
      </c>
      <c r="I98" s="21">
        <f t="shared" ref="I98:I129" si="12">H98/G98*100</f>
        <v>20.533333333333335</v>
      </c>
      <c r="J98" s="16">
        <v>48794</v>
      </c>
      <c r="K98" s="16">
        <f>G98-43953</f>
        <v>31047</v>
      </c>
      <c r="L98" s="16">
        <v>4841</v>
      </c>
      <c r="M98" s="31">
        <v>37.235788999999997</v>
      </c>
      <c r="N98" s="35">
        <v>110.040001</v>
      </c>
      <c r="O98" s="40">
        <v>0.106</v>
      </c>
      <c r="P98" s="40">
        <v>0.106</v>
      </c>
      <c r="Q98" s="16">
        <f t="shared" ref="Q98:Q134" si="13">K98/M98</f>
        <v>833.79460550708359</v>
      </c>
      <c r="R98" s="16">
        <f t="shared" ref="R98:R134" si="14">K98/O98</f>
        <v>292896.22641509434</v>
      </c>
      <c r="S98" s="45">
        <f t="shared" ref="S98:S134" si="15">K98/O98/43560</f>
        <v>6.7239721399241121</v>
      </c>
      <c r="T98" s="40">
        <v>42</v>
      </c>
      <c r="U98" s="6" t="s">
        <v>55</v>
      </c>
      <c r="X98" t="s">
        <v>56</v>
      </c>
      <c r="Y98">
        <v>0</v>
      </c>
      <c r="Z98">
        <v>1</v>
      </c>
      <c r="AA98" s="8">
        <v>40583</v>
      </c>
      <c r="AC98" s="7" t="s">
        <v>57</v>
      </c>
      <c r="AD98" t="s">
        <v>58</v>
      </c>
    </row>
    <row r="99" spans="1:30" x14ac:dyDescent="0.25">
      <c r="A99" t="s">
        <v>207</v>
      </c>
      <c r="B99" t="s">
        <v>208</v>
      </c>
      <c r="C99" s="26">
        <v>44533</v>
      </c>
      <c r="D99" s="16">
        <v>102900</v>
      </c>
      <c r="E99" t="s">
        <v>46</v>
      </c>
      <c r="F99" t="s">
        <v>47</v>
      </c>
      <c r="G99" s="16">
        <v>102900</v>
      </c>
      <c r="H99" s="16">
        <v>25600</v>
      </c>
      <c r="I99" s="21">
        <f t="shared" si="12"/>
        <v>24.878522837706509</v>
      </c>
      <c r="J99" s="16">
        <v>81080</v>
      </c>
      <c r="K99" s="16">
        <f>G99-77180</f>
        <v>25720</v>
      </c>
      <c r="L99" s="16">
        <v>3900</v>
      </c>
      <c r="M99" s="31">
        <v>30</v>
      </c>
      <c r="N99" s="35">
        <v>100</v>
      </c>
      <c r="O99" s="40">
        <v>6.9000000000000006E-2</v>
      </c>
      <c r="P99" s="40">
        <v>6.9000000000000006E-2</v>
      </c>
      <c r="Q99" s="16">
        <f t="shared" si="13"/>
        <v>857.33333333333337</v>
      </c>
      <c r="R99" s="16">
        <f t="shared" si="14"/>
        <v>372753.62318840576</v>
      </c>
      <c r="S99" s="45">
        <f t="shared" si="15"/>
        <v>8.5572457113959075</v>
      </c>
      <c r="T99" s="40">
        <v>30</v>
      </c>
      <c r="U99" s="6" t="s">
        <v>55</v>
      </c>
      <c r="X99" t="s">
        <v>56</v>
      </c>
      <c r="Y99">
        <v>0</v>
      </c>
      <c r="Z99">
        <v>1</v>
      </c>
      <c r="AA99" s="8">
        <v>37011</v>
      </c>
      <c r="AC99" s="7" t="s">
        <v>57</v>
      </c>
      <c r="AD99" t="s">
        <v>58</v>
      </c>
    </row>
    <row r="100" spans="1:30" x14ac:dyDescent="0.25">
      <c r="A100" t="s">
        <v>311</v>
      </c>
      <c r="B100" t="s">
        <v>312</v>
      </c>
      <c r="C100" s="26">
        <v>44677</v>
      </c>
      <c r="D100" s="16">
        <v>77000</v>
      </c>
      <c r="E100" t="s">
        <v>46</v>
      </c>
      <c r="F100" t="s">
        <v>47</v>
      </c>
      <c r="G100" s="16">
        <v>77000</v>
      </c>
      <c r="H100" s="16">
        <v>16700</v>
      </c>
      <c r="I100" s="21">
        <f t="shared" si="12"/>
        <v>21.688311688311686</v>
      </c>
      <c r="J100" s="16">
        <v>44606</v>
      </c>
      <c r="K100" s="16">
        <f>G100-38820</f>
        <v>38180</v>
      </c>
      <c r="L100" s="16">
        <v>5786</v>
      </c>
      <c r="M100" s="31">
        <v>44.505280999999997</v>
      </c>
      <c r="N100" s="35">
        <v>110.040001</v>
      </c>
      <c r="O100" s="40">
        <v>0.152</v>
      </c>
      <c r="P100" s="40">
        <v>0.152</v>
      </c>
      <c r="Q100" s="16">
        <f t="shared" si="13"/>
        <v>857.87572041169688</v>
      </c>
      <c r="R100" s="16">
        <f t="shared" si="14"/>
        <v>251184.21052631579</v>
      </c>
      <c r="S100" s="45">
        <f t="shared" si="15"/>
        <v>5.7663960175921893</v>
      </c>
      <c r="T100" s="40">
        <v>60</v>
      </c>
      <c r="U100" s="6" t="s">
        <v>55</v>
      </c>
      <c r="X100" t="s">
        <v>56</v>
      </c>
      <c r="Y100">
        <v>0</v>
      </c>
      <c r="Z100">
        <v>1</v>
      </c>
      <c r="AA100" s="8">
        <v>37027</v>
      </c>
      <c r="AC100" s="7" t="s">
        <v>57</v>
      </c>
      <c r="AD100" t="s">
        <v>58</v>
      </c>
    </row>
    <row r="101" spans="1:30" x14ac:dyDescent="0.25">
      <c r="A101" t="s">
        <v>74</v>
      </c>
      <c r="B101" t="s">
        <v>75</v>
      </c>
      <c r="C101" s="26">
        <v>44634</v>
      </c>
      <c r="D101" s="16">
        <v>67000</v>
      </c>
      <c r="E101" t="s">
        <v>61</v>
      </c>
      <c r="F101" t="s">
        <v>47</v>
      </c>
      <c r="G101" s="16">
        <v>67000</v>
      </c>
      <c r="H101" s="16">
        <v>13500</v>
      </c>
      <c r="I101" s="21">
        <f t="shared" si="12"/>
        <v>20.149253731343283</v>
      </c>
      <c r="J101" s="16">
        <v>44951</v>
      </c>
      <c r="K101" s="16">
        <f>G101-41285</f>
        <v>25715</v>
      </c>
      <c r="L101" s="16">
        <v>3666</v>
      </c>
      <c r="M101" s="31">
        <v>28.2</v>
      </c>
      <c r="N101" s="35">
        <v>88.360000999999997</v>
      </c>
      <c r="O101" s="40">
        <v>6.0999999999999999E-2</v>
      </c>
      <c r="P101" s="40">
        <v>6.0999999999999999E-2</v>
      </c>
      <c r="Q101" s="16">
        <f t="shared" si="13"/>
        <v>911.87943262411352</v>
      </c>
      <c r="R101" s="16">
        <f t="shared" si="14"/>
        <v>421557.37704918033</v>
      </c>
      <c r="S101" s="45">
        <f t="shared" si="15"/>
        <v>9.6776257357479416</v>
      </c>
      <c r="T101" s="40">
        <v>30</v>
      </c>
      <c r="U101" s="6" t="s">
        <v>55</v>
      </c>
      <c r="X101" t="s">
        <v>56</v>
      </c>
      <c r="Y101">
        <v>0</v>
      </c>
      <c r="Z101">
        <v>1</v>
      </c>
      <c r="AA101" s="8">
        <v>37006</v>
      </c>
      <c r="AC101" s="7" t="s">
        <v>57</v>
      </c>
      <c r="AD101" t="s">
        <v>58</v>
      </c>
    </row>
    <row r="102" spans="1:30" x14ac:dyDescent="0.25">
      <c r="A102" t="s">
        <v>238</v>
      </c>
      <c r="B102" t="s">
        <v>239</v>
      </c>
      <c r="C102" s="26">
        <v>44967</v>
      </c>
      <c r="D102" s="16">
        <v>115000</v>
      </c>
      <c r="E102" t="s">
        <v>61</v>
      </c>
      <c r="F102" t="s">
        <v>47</v>
      </c>
      <c r="G102" s="16">
        <v>115000</v>
      </c>
      <c r="H102" s="16">
        <v>31200</v>
      </c>
      <c r="I102" s="21">
        <f t="shared" si="12"/>
        <v>27.130434782608699</v>
      </c>
      <c r="J102" s="16">
        <v>87165</v>
      </c>
      <c r="K102" s="16">
        <f>G102-82662</f>
        <v>32338</v>
      </c>
      <c r="L102" s="16">
        <v>4503</v>
      </c>
      <c r="M102" s="31">
        <v>34.641016</v>
      </c>
      <c r="N102" s="35">
        <v>100</v>
      </c>
      <c r="O102" s="40">
        <v>9.1999999999999998E-2</v>
      </c>
      <c r="P102" s="40">
        <v>9.1999999999999998E-2</v>
      </c>
      <c r="Q102" s="16">
        <f t="shared" si="13"/>
        <v>933.51765433207845</v>
      </c>
      <c r="R102" s="16">
        <f t="shared" si="14"/>
        <v>351500</v>
      </c>
      <c r="S102" s="45">
        <f t="shared" si="15"/>
        <v>8.0693296602387505</v>
      </c>
      <c r="T102" s="40">
        <v>40</v>
      </c>
      <c r="U102" s="6" t="s">
        <v>55</v>
      </c>
      <c r="X102" t="s">
        <v>56</v>
      </c>
      <c r="Y102">
        <v>0</v>
      </c>
      <c r="Z102">
        <v>1</v>
      </c>
      <c r="AA102" s="8">
        <v>37015</v>
      </c>
      <c r="AC102" s="7" t="s">
        <v>57</v>
      </c>
      <c r="AD102" t="s">
        <v>58</v>
      </c>
    </row>
    <row r="103" spans="1:30" x14ac:dyDescent="0.25">
      <c r="A103" t="s">
        <v>160</v>
      </c>
      <c r="B103" t="s">
        <v>161</v>
      </c>
      <c r="C103" s="26">
        <v>44813</v>
      </c>
      <c r="D103" s="16">
        <v>80000</v>
      </c>
      <c r="E103" t="s">
        <v>61</v>
      </c>
      <c r="F103" t="s">
        <v>47</v>
      </c>
      <c r="G103" s="16">
        <v>80000</v>
      </c>
      <c r="H103" s="16">
        <v>19200</v>
      </c>
      <c r="I103" s="21">
        <f t="shared" si="12"/>
        <v>24</v>
      </c>
      <c r="J103" s="16">
        <v>51664</v>
      </c>
      <c r="K103" s="16">
        <f>G103-47161</f>
        <v>32839</v>
      </c>
      <c r="L103" s="16">
        <v>4503</v>
      </c>
      <c r="M103" s="31">
        <v>34.641016</v>
      </c>
      <c r="N103" s="35">
        <v>100</v>
      </c>
      <c r="O103" s="40">
        <v>9.1999999999999998E-2</v>
      </c>
      <c r="P103" s="40">
        <v>9.1999999999999998E-2</v>
      </c>
      <c r="Q103" s="16">
        <f t="shared" si="13"/>
        <v>947.98027863847869</v>
      </c>
      <c r="R103" s="16">
        <f t="shared" si="14"/>
        <v>356945.65217391303</v>
      </c>
      <c r="S103" s="45">
        <f t="shared" si="15"/>
        <v>8.1943446320916671</v>
      </c>
      <c r="T103" s="40">
        <v>40</v>
      </c>
      <c r="U103" s="6" t="s">
        <v>55</v>
      </c>
      <c r="X103" t="s">
        <v>56</v>
      </c>
      <c r="Y103">
        <v>0</v>
      </c>
      <c r="Z103">
        <v>1</v>
      </c>
      <c r="AA103" s="8">
        <v>37011</v>
      </c>
      <c r="AC103" s="7" t="s">
        <v>57</v>
      </c>
      <c r="AD103" t="s">
        <v>58</v>
      </c>
    </row>
    <row r="104" spans="1:30" x14ac:dyDescent="0.25">
      <c r="A104" t="s">
        <v>307</v>
      </c>
      <c r="B104" t="s">
        <v>308</v>
      </c>
      <c r="C104" s="26">
        <v>44558</v>
      </c>
      <c r="D104" s="16">
        <v>85000</v>
      </c>
      <c r="E104" t="s">
        <v>46</v>
      </c>
      <c r="F104" t="s">
        <v>47</v>
      </c>
      <c r="G104" s="16">
        <v>85000</v>
      </c>
      <c r="H104" s="16">
        <v>17200</v>
      </c>
      <c r="I104" s="21">
        <f t="shared" si="12"/>
        <v>20.235294117647058</v>
      </c>
      <c r="J104" s="16">
        <v>54382</v>
      </c>
      <c r="K104" s="16">
        <f>G104-49605</f>
        <v>35395</v>
      </c>
      <c r="L104" s="16">
        <v>4777</v>
      </c>
      <c r="M104" s="31">
        <v>36.742345999999998</v>
      </c>
      <c r="N104" s="35">
        <v>100</v>
      </c>
      <c r="O104" s="40">
        <v>0.10299999999999999</v>
      </c>
      <c r="P104" s="40">
        <v>0.10299999999999999</v>
      </c>
      <c r="Q104" s="16">
        <f t="shared" si="13"/>
        <v>963.32988644764282</v>
      </c>
      <c r="R104" s="16">
        <f t="shared" si="14"/>
        <v>343640.77669902914</v>
      </c>
      <c r="S104" s="45">
        <f t="shared" si="15"/>
        <v>7.8889067194451137</v>
      </c>
      <c r="T104" s="40">
        <v>45</v>
      </c>
      <c r="U104" s="6" t="s">
        <v>55</v>
      </c>
      <c r="X104" t="s">
        <v>56</v>
      </c>
      <c r="Y104">
        <v>0</v>
      </c>
      <c r="Z104">
        <v>1</v>
      </c>
      <c r="AA104" s="8">
        <v>37022</v>
      </c>
      <c r="AC104" s="7" t="s">
        <v>57</v>
      </c>
      <c r="AD104" t="s">
        <v>58</v>
      </c>
    </row>
    <row r="105" spans="1:30" x14ac:dyDescent="0.25">
      <c r="A105" t="s">
        <v>111</v>
      </c>
      <c r="B105" t="s">
        <v>112</v>
      </c>
      <c r="C105" s="26">
        <v>44321</v>
      </c>
      <c r="D105" s="16">
        <v>84000</v>
      </c>
      <c r="E105" t="s">
        <v>46</v>
      </c>
      <c r="F105" t="s">
        <v>47</v>
      </c>
      <c r="G105" s="16">
        <v>84000</v>
      </c>
      <c r="H105" s="16">
        <v>17700</v>
      </c>
      <c r="I105" s="21">
        <f t="shared" si="12"/>
        <v>21.071428571428573</v>
      </c>
      <c r="J105" s="16">
        <v>55842</v>
      </c>
      <c r="K105" s="16">
        <f>G105-51550</f>
        <v>32450</v>
      </c>
      <c r="L105" s="16">
        <v>4292</v>
      </c>
      <c r="M105" s="31">
        <v>33.014997000000001</v>
      </c>
      <c r="N105" s="35">
        <v>121.110001</v>
      </c>
      <c r="O105" s="40">
        <v>8.3000000000000004E-2</v>
      </c>
      <c r="P105" s="40">
        <v>8.3000000000000004E-2</v>
      </c>
      <c r="Q105" s="16">
        <f t="shared" si="13"/>
        <v>982.88665602483616</v>
      </c>
      <c r="R105" s="16">
        <f t="shared" si="14"/>
        <v>390963.85542168672</v>
      </c>
      <c r="S105" s="45">
        <f t="shared" si="15"/>
        <v>8.975295119873433</v>
      </c>
      <c r="T105" s="40">
        <v>30</v>
      </c>
      <c r="U105" s="6" t="s">
        <v>55</v>
      </c>
      <c r="X105" t="s">
        <v>56</v>
      </c>
      <c r="Y105">
        <v>0</v>
      </c>
      <c r="Z105">
        <v>1</v>
      </c>
      <c r="AA105" s="8">
        <v>37015</v>
      </c>
      <c r="AC105" s="7" t="s">
        <v>57</v>
      </c>
      <c r="AD105" t="s">
        <v>58</v>
      </c>
    </row>
    <row r="106" spans="1:30" x14ac:dyDescent="0.25">
      <c r="A106" t="s">
        <v>276</v>
      </c>
      <c r="B106" t="s">
        <v>277</v>
      </c>
      <c r="C106" s="26">
        <v>44674</v>
      </c>
      <c r="D106" s="16">
        <v>73500</v>
      </c>
      <c r="E106" t="s">
        <v>61</v>
      </c>
      <c r="F106" t="s">
        <v>47</v>
      </c>
      <c r="G106" s="16">
        <v>73500</v>
      </c>
      <c r="H106" s="16">
        <v>17300</v>
      </c>
      <c r="I106" s="21">
        <f t="shared" si="12"/>
        <v>23.537414965986393</v>
      </c>
      <c r="J106" s="16">
        <v>45899</v>
      </c>
      <c r="K106" s="16">
        <f>G106-41809</f>
        <v>31691</v>
      </c>
      <c r="L106" s="16">
        <v>4090</v>
      </c>
      <c r="M106" s="31">
        <v>31.464265000000001</v>
      </c>
      <c r="N106" s="35">
        <v>110</v>
      </c>
      <c r="O106" s="40">
        <v>7.5999999999999998E-2</v>
      </c>
      <c r="P106" s="40">
        <v>7.5999999999999998E-2</v>
      </c>
      <c r="Q106" s="16">
        <f t="shared" si="13"/>
        <v>1007.2061114410268</v>
      </c>
      <c r="R106" s="16">
        <f t="shared" si="14"/>
        <v>416986.84210526315</v>
      </c>
      <c r="S106" s="45">
        <f t="shared" si="15"/>
        <v>9.572700691121744</v>
      </c>
      <c r="T106" s="40">
        <v>30</v>
      </c>
      <c r="U106" s="6" t="s">
        <v>55</v>
      </c>
      <c r="X106" t="s">
        <v>56</v>
      </c>
      <c r="Y106">
        <v>0</v>
      </c>
      <c r="Z106">
        <v>1</v>
      </c>
      <c r="AA106" s="8">
        <v>37021</v>
      </c>
      <c r="AC106" s="7" t="s">
        <v>57</v>
      </c>
      <c r="AD106" t="s">
        <v>58</v>
      </c>
    </row>
    <row r="107" spans="1:30" x14ac:dyDescent="0.25">
      <c r="A107" t="s">
        <v>315</v>
      </c>
      <c r="B107" t="s">
        <v>316</v>
      </c>
      <c r="C107" s="26">
        <v>44560</v>
      </c>
      <c r="D107" s="16">
        <v>68000</v>
      </c>
      <c r="E107" t="s">
        <v>46</v>
      </c>
      <c r="F107" t="s">
        <v>47</v>
      </c>
      <c r="G107" s="16">
        <v>68000</v>
      </c>
      <c r="H107" s="16">
        <v>12800</v>
      </c>
      <c r="I107" s="21">
        <f t="shared" si="12"/>
        <v>18.823529411764707</v>
      </c>
      <c r="J107" s="16">
        <v>40098</v>
      </c>
      <c r="K107" s="16">
        <f>G107-36019</f>
        <v>31981</v>
      </c>
      <c r="L107" s="16">
        <v>4079</v>
      </c>
      <c r="M107" s="31">
        <v>31.378336000000001</v>
      </c>
      <c r="N107" s="35">
        <v>109.400002</v>
      </c>
      <c r="O107" s="40">
        <v>7.4999999999999997E-2</v>
      </c>
      <c r="P107" s="40">
        <v>7.4999999999999997E-2</v>
      </c>
      <c r="Q107" s="16">
        <f t="shared" si="13"/>
        <v>1019.2063721925854</v>
      </c>
      <c r="R107" s="16">
        <f t="shared" si="14"/>
        <v>426413.33333333337</v>
      </c>
      <c r="S107" s="45">
        <f t="shared" si="15"/>
        <v>9.7891031527395178</v>
      </c>
      <c r="T107" s="40">
        <v>30</v>
      </c>
      <c r="U107" s="6" t="s">
        <v>55</v>
      </c>
      <c r="X107" t="s">
        <v>56</v>
      </c>
      <c r="Y107">
        <v>0</v>
      </c>
      <c r="Z107">
        <v>1</v>
      </c>
      <c r="AA107" s="8">
        <v>37027</v>
      </c>
      <c r="AC107" s="7" t="s">
        <v>57</v>
      </c>
      <c r="AD107" t="s">
        <v>58</v>
      </c>
    </row>
    <row r="108" spans="1:30" x14ac:dyDescent="0.25">
      <c r="A108" t="s">
        <v>162</v>
      </c>
      <c r="B108" t="s">
        <v>163</v>
      </c>
      <c r="C108" s="26">
        <v>44400</v>
      </c>
      <c r="D108" s="16">
        <v>69000</v>
      </c>
      <c r="E108" t="s">
        <v>46</v>
      </c>
      <c r="F108" t="s">
        <v>47</v>
      </c>
      <c r="G108" s="16">
        <v>69000</v>
      </c>
      <c r="H108" s="16">
        <v>13500</v>
      </c>
      <c r="I108" s="21">
        <f t="shared" si="12"/>
        <v>19.565217391304348</v>
      </c>
      <c r="J108" s="16">
        <v>42310</v>
      </c>
      <c r="K108" s="16">
        <f>G108-38410</f>
        <v>30590</v>
      </c>
      <c r="L108" s="16">
        <v>3900</v>
      </c>
      <c r="M108" s="31">
        <v>30</v>
      </c>
      <c r="N108" s="35">
        <v>100</v>
      </c>
      <c r="O108" s="40">
        <v>6.9000000000000006E-2</v>
      </c>
      <c r="P108" s="40">
        <v>6.9000000000000006E-2</v>
      </c>
      <c r="Q108" s="16">
        <f t="shared" si="13"/>
        <v>1019.6666666666666</v>
      </c>
      <c r="R108" s="16">
        <f t="shared" si="14"/>
        <v>443333.33333333331</v>
      </c>
      <c r="S108" s="45">
        <f t="shared" si="15"/>
        <v>10.177532904805632</v>
      </c>
      <c r="T108" s="40">
        <v>30</v>
      </c>
      <c r="U108" s="6" t="s">
        <v>55</v>
      </c>
      <c r="X108" t="s">
        <v>56</v>
      </c>
      <c r="Y108">
        <v>0</v>
      </c>
      <c r="Z108">
        <v>1</v>
      </c>
      <c r="AA108" s="8">
        <v>37012</v>
      </c>
      <c r="AC108" s="7" t="s">
        <v>57</v>
      </c>
      <c r="AD108" t="s">
        <v>58</v>
      </c>
    </row>
    <row r="109" spans="1:30" x14ac:dyDescent="0.25">
      <c r="A109" t="s">
        <v>278</v>
      </c>
      <c r="B109" t="s">
        <v>279</v>
      </c>
      <c r="C109" s="26">
        <v>44995</v>
      </c>
      <c r="D109" s="16">
        <v>78000</v>
      </c>
      <c r="E109" t="s">
        <v>46</v>
      </c>
      <c r="F109" t="s">
        <v>47</v>
      </c>
      <c r="G109" s="16">
        <v>78000</v>
      </c>
      <c r="H109" s="16">
        <v>16600</v>
      </c>
      <c r="I109" s="21">
        <f t="shared" si="12"/>
        <v>21.282051282051281</v>
      </c>
      <c r="J109" s="16">
        <v>45922</v>
      </c>
      <c r="K109" s="16">
        <f>G109-41243</f>
        <v>36757</v>
      </c>
      <c r="L109" s="16">
        <v>4679</v>
      </c>
      <c r="M109" s="31">
        <v>35.991666000000002</v>
      </c>
      <c r="N109" s="35">
        <v>100</v>
      </c>
      <c r="O109" s="40">
        <v>0.107</v>
      </c>
      <c r="P109" s="40">
        <v>0.107</v>
      </c>
      <c r="Q109" s="16">
        <f t="shared" si="13"/>
        <v>1021.2642004401796</v>
      </c>
      <c r="R109" s="16">
        <f t="shared" si="14"/>
        <v>343523.36448598129</v>
      </c>
      <c r="S109" s="45">
        <f t="shared" si="15"/>
        <v>7.8862113059224352</v>
      </c>
      <c r="T109" s="40">
        <v>36.26</v>
      </c>
      <c r="U109" s="6" t="s">
        <v>55</v>
      </c>
      <c r="X109" t="s">
        <v>56</v>
      </c>
      <c r="Y109">
        <v>0</v>
      </c>
      <c r="Z109">
        <v>1</v>
      </c>
      <c r="AA109" t="s">
        <v>50</v>
      </c>
      <c r="AC109" s="7" t="s">
        <v>57</v>
      </c>
      <c r="AD109" t="s">
        <v>58</v>
      </c>
    </row>
    <row r="110" spans="1:30" x14ac:dyDescent="0.25">
      <c r="A110" t="s">
        <v>164</v>
      </c>
      <c r="B110" t="s">
        <v>165</v>
      </c>
      <c r="C110" s="26">
        <v>44662</v>
      </c>
      <c r="D110" s="16">
        <v>92000</v>
      </c>
      <c r="E110" t="s">
        <v>46</v>
      </c>
      <c r="F110" t="s">
        <v>47</v>
      </c>
      <c r="G110" s="16">
        <v>92000</v>
      </c>
      <c r="H110" s="16">
        <v>21600</v>
      </c>
      <c r="I110" s="21">
        <f t="shared" si="12"/>
        <v>23.478260869565219</v>
      </c>
      <c r="J110" s="16">
        <v>58240</v>
      </c>
      <c r="K110" s="16">
        <f>G110-53463</f>
        <v>38537</v>
      </c>
      <c r="L110" s="16">
        <v>4777</v>
      </c>
      <c r="M110" s="31">
        <v>36.742345999999998</v>
      </c>
      <c r="N110" s="35">
        <v>100</v>
      </c>
      <c r="O110" s="40">
        <v>0.10299999999999999</v>
      </c>
      <c r="P110" s="40">
        <v>0.10299999999999999</v>
      </c>
      <c r="Q110" s="16">
        <f t="shared" si="13"/>
        <v>1048.8442953533779</v>
      </c>
      <c r="R110" s="16">
        <f t="shared" si="14"/>
        <v>374145.63106796116</v>
      </c>
      <c r="S110" s="45">
        <f t="shared" si="15"/>
        <v>8.5892018151506235</v>
      </c>
      <c r="T110" s="40">
        <v>45</v>
      </c>
      <c r="U110" s="6" t="s">
        <v>55</v>
      </c>
      <c r="X110" t="s">
        <v>56</v>
      </c>
      <c r="Y110">
        <v>0</v>
      </c>
      <c r="Z110">
        <v>1</v>
      </c>
      <c r="AA110" s="8">
        <v>37012</v>
      </c>
      <c r="AC110" s="7" t="s">
        <v>57</v>
      </c>
      <c r="AD110" t="s">
        <v>58</v>
      </c>
    </row>
    <row r="111" spans="1:30" x14ac:dyDescent="0.25">
      <c r="A111" t="s">
        <v>91</v>
      </c>
      <c r="B111" t="s">
        <v>92</v>
      </c>
      <c r="C111" s="26">
        <v>44834</v>
      </c>
      <c r="D111" s="16">
        <v>89900</v>
      </c>
      <c r="E111" t="s">
        <v>46</v>
      </c>
      <c r="F111" t="s">
        <v>47</v>
      </c>
      <c r="G111" s="16">
        <v>89900</v>
      </c>
      <c r="H111" s="16">
        <v>22400</v>
      </c>
      <c r="I111" s="21">
        <f t="shared" si="12"/>
        <v>24.916573971078975</v>
      </c>
      <c r="J111" s="16">
        <v>60672</v>
      </c>
      <c r="K111" s="16">
        <f>G111-56582</f>
        <v>33318</v>
      </c>
      <c r="L111" s="16">
        <v>4090</v>
      </c>
      <c r="M111" s="31">
        <v>31.464265000000001</v>
      </c>
      <c r="N111" s="35">
        <v>110</v>
      </c>
      <c r="O111" s="40">
        <v>7.5999999999999998E-2</v>
      </c>
      <c r="P111" s="40">
        <v>7.5999999999999998E-2</v>
      </c>
      <c r="Q111" s="16">
        <f t="shared" si="13"/>
        <v>1058.9155665959463</v>
      </c>
      <c r="R111" s="16">
        <f t="shared" si="14"/>
        <v>438394.73684210528</v>
      </c>
      <c r="S111" s="45">
        <f t="shared" si="15"/>
        <v>10.064158329708569</v>
      </c>
      <c r="T111" s="40">
        <v>30</v>
      </c>
      <c r="U111" s="6" t="s">
        <v>55</v>
      </c>
      <c r="X111" t="s">
        <v>56</v>
      </c>
      <c r="Y111">
        <v>0</v>
      </c>
      <c r="Z111">
        <v>1</v>
      </c>
      <c r="AA111" s="8">
        <v>37004</v>
      </c>
      <c r="AC111" s="7" t="s">
        <v>57</v>
      </c>
      <c r="AD111" t="s">
        <v>58</v>
      </c>
    </row>
    <row r="112" spans="1:30" x14ac:dyDescent="0.25">
      <c r="A112" t="s">
        <v>62</v>
      </c>
      <c r="B112" t="s">
        <v>63</v>
      </c>
      <c r="C112" s="26">
        <v>44893</v>
      </c>
      <c r="D112" s="16">
        <v>150000</v>
      </c>
      <c r="E112" t="s">
        <v>46</v>
      </c>
      <c r="F112" t="s">
        <v>64</v>
      </c>
      <c r="G112" s="16">
        <v>150000</v>
      </c>
      <c r="H112" s="16">
        <v>28200</v>
      </c>
      <c r="I112" s="21">
        <f t="shared" si="12"/>
        <v>18.8</v>
      </c>
      <c r="J112" s="16">
        <v>80072</v>
      </c>
      <c r="K112" s="16">
        <f>G112-70541</f>
        <v>79459</v>
      </c>
      <c r="L112" s="16">
        <v>9531</v>
      </c>
      <c r="M112" s="31">
        <v>73.318994000000004</v>
      </c>
      <c r="N112" s="35">
        <v>204.96000599999999</v>
      </c>
      <c r="O112" s="40">
        <v>0.21199999999999999</v>
      </c>
      <c r="P112" s="40">
        <v>0.14099999999999999</v>
      </c>
      <c r="Q112" s="16">
        <f t="shared" si="13"/>
        <v>1083.7437294897964</v>
      </c>
      <c r="R112" s="16">
        <f t="shared" si="14"/>
        <v>374806.60377358494</v>
      </c>
      <c r="S112" s="45">
        <f t="shared" si="15"/>
        <v>8.6043756605506179</v>
      </c>
      <c r="T112" s="40">
        <v>90</v>
      </c>
      <c r="U112" s="6" t="s">
        <v>55</v>
      </c>
      <c r="W112" t="s">
        <v>65</v>
      </c>
      <c r="X112" t="s">
        <v>56</v>
      </c>
      <c r="Y112">
        <v>0</v>
      </c>
      <c r="Z112">
        <v>1</v>
      </c>
      <c r="AA112" s="8">
        <v>40583</v>
      </c>
      <c r="AC112" s="7" t="s">
        <v>57</v>
      </c>
      <c r="AD112" t="s">
        <v>58</v>
      </c>
    </row>
    <row r="113" spans="1:30" x14ac:dyDescent="0.25">
      <c r="A113" t="s">
        <v>99</v>
      </c>
      <c r="B113" t="s">
        <v>100</v>
      </c>
      <c r="C113" s="26">
        <v>44342</v>
      </c>
      <c r="D113" s="16">
        <v>100000</v>
      </c>
      <c r="E113" t="s">
        <v>46</v>
      </c>
      <c r="F113" t="s">
        <v>47</v>
      </c>
      <c r="G113" s="16">
        <v>100000</v>
      </c>
      <c r="H113" s="16">
        <v>21600</v>
      </c>
      <c r="I113" s="21">
        <f t="shared" si="12"/>
        <v>21.6</v>
      </c>
      <c r="J113" s="16">
        <v>68188</v>
      </c>
      <c r="K113" s="16">
        <f>G113-64020</f>
        <v>35980</v>
      </c>
      <c r="L113" s="16">
        <v>4168</v>
      </c>
      <c r="M113" s="31">
        <v>32.060724</v>
      </c>
      <c r="N113" s="35">
        <v>114.209999</v>
      </c>
      <c r="O113" s="40">
        <v>7.9000000000000001E-2</v>
      </c>
      <c r="P113" s="40">
        <v>7.9000000000000001E-2</v>
      </c>
      <c r="Q113" s="16">
        <f t="shared" si="13"/>
        <v>1122.245399074581</v>
      </c>
      <c r="R113" s="16">
        <f t="shared" si="14"/>
        <v>455443.03797468357</v>
      </c>
      <c r="S113" s="45">
        <f t="shared" si="15"/>
        <v>10.455533470493195</v>
      </c>
      <c r="T113" s="40">
        <v>30</v>
      </c>
      <c r="U113" s="6" t="s">
        <v>55</v>
      </c>
      <c r="X113" t="s">
        <v>56</v>
      </c>
      <c r="Y113">
        <v>0</v>
      </c>
      <c r="Z113">
        <v>1</v>
      </c>
      <c r="AA113" s="8">
        <v>37008</v>
      </c>
      <c r="AC113" s="7" t="s">
        <v>57</v>
      </c>
      <c r="AD113" t="s">
        <v>58</v>
      </c>
    </row>
    <row r="114" spans="1:30" x14ac:dyDescent="0.25">
      <c r="A114" t="s">
        <v>256</v>
      </c>
      <c r="B114" t="s">
        <v>257</v>
      </c>
      <c r="C114" s="26">
        <v>44734</v>
      </c>
      <c r="D114" s="16">
        <v>130000</v>
      </c>
      <c r="E114" t="s">
        <v>46</v>
      </c>
      <c r="F114" t="s">
        <v>47</v>
      </c>
      <c r="G114" s="16">
        <v>130000</v>
      </c>
      <c r="H114" s="16">
        <v>35400</v>
      </c>
      <c r="I114" s="21">
        <f t="shared" si="12"/>
        <v>27.23076923076923</v>
      </c>
      <c r="J114" s="16">
        <v>98258</v>
      </c>
      <c r="K114" s="16">
        <f>G114-94390</f>
        <v>35610</v>
      </c>
      <c r="L114" s="16">
        <v>3868</v>
      </c>
      <c r="M114" s="31">
        <v>29.756197</v>
      </c>
      <c r="N114" s="35">
        <v>59.625</v>
      </c>
      <c r="O114" s="40">
        <v>6.8000000000000005E-2</v>
      </c>
      <c r="P114" s="40">
        <v>6.8000000000000005E-2</v>
      </c>
      <c r="Q114" s="16">
        <f t="shared" si="13"/>
        <v>1196.7255089754917</v>
      </c>
      <c r="R114" s="16">
        <f t="shared" si="14"/>
        <v>523676.47058823524</v>
      </c>
      <c r="S114" s="45">
        <f t="shared" si="15"/>
        <v>12.021957543347916</v>
      </c>
      <c r="T114" s="40">
        <v>49.5</v>
      </c>
      <c r="U114" s="6" t="s">
        <v>55</v>
      </c>
      <c r="X114" t="s">
        <v>56</v>
      </c>
      <c r="Y114">
        <v>0</v>
      </c>
      <c r="Z114">
        <v>1</v>
      </c>
      <c r="AA114" s="8">
        <v>37018</v>
      </c>
      <c r="AC114" s="7" t="s">
        <v>57</v>
      </c>
      <c r="AD114" t="s">
        <v>58</v>
      </c>
    </row>
    <row r="115" spans="1:30" x14ac:dyDescent="0.25">
      <c r="A115" t="s">
        <v>340</v>
      </c>
      <c r="B115" t="s">
        <v>341</v>
      </c>
      <c r="C115" s="26">
        <v>44747</v>
      </c>
      <c r="D115" s="16">
        <v>82999</v>
      </c>
      <c r="E115" t="s">
        <v>46</v>
      </c>
      <c r="F115" t="s">
        <v>47</v>
      </c>
      <c r="G115" s="16">
        <v>82999</v>
      </c>
      <c r="H115" s="16">
        <v>16800</v>
      </c>
      <c r="I115" s="21">
        <f t="shared" si="12"/>
        <v>20.241207725394279</v>
      </c>
      <c r="J115" s="16">
        <v>45175</v>
      </c>
      <c r="K115" s="16">
        <f>G115-40571</f>
        <v>42428</v>
      </c>
      <c r="L115" s="16">
        <v>4604</v>
      </c>
      <c r="M115" s="31">
        <v>35.411861999999999</v>
      </c>
      <c r="N115" s="35">
        <v>110</v>
      </c>
      <c r="O115" s="40">
        <v>9.6000000000000002E-2</v>
      </c>
      <c r="P115" s="40">
        <v>9.6000000000000002E-2</v>
      </c>
      <c r="Q115" s="16">
        <f t="shared" si="13"/>
        <v>1198.1295984944254</v>
      </c>
      <c r="R115" s="16">
        <f t="shared" si="14"/>
        <v>441958.33333333331</v>
      </c>
      <c r="S115" s="45">
        <f t="shared" si="15"/>
        <v>10.145967248239975</v>
      </c>
      <c r="T115" s="40">
        <v>38</v>
      </c>
      <c r="U115" s="6" t="s">
        <v>55</v>
      </c>
      <c r="X115" t="s">
        <v>56</v>
      </c>
      <c r="Y115">
        <v>0</v>
      </c>
      <c r="Z115">
        <v>1</v>
      </c>
      <c r="AA115" t="s">
        <v>50</v>
      </c>
      <c r="AC115" s="7" t="s">
        <v>57</v>
      </c>
      <c r="AD115" t="s">
        <v>58</v>
      </c>
    </row>
    <row r="116" spans="1:30" x14ac:dyDescent="0.25">
      <c r="A116" t="s">
        <v>53</v>
      </c>
      <c r="B116" t="s">
        <v>54</v>
      </c>
      <c r="C116" s="26">
        <v>44547</v>
      </c>
      <c r="D116" s="16">
        <v>70000</v>
      </c>
      <c r="E116" t="s">
        <v>46</v>
      </c>
      <c r="F116" t="s">
        <v>47</v>
      </c>
      <c r="G116" s="16">
        <v>70000</v>
      </c>
      <c r="H116" s="16">
        <v>11200</v>
      </c>
      <c r="I116" s="21">
        <f t="shared" si="12"/>
        <v>16</v>
      </c>
      <c r="J116" s="16">
        <v>37064</v>
      </c>
      <c r="K116" s="16">
        <f>G116-33091</f>
        <v>36909</v>
      </c>
      <c r="L116" s="16">
        <v>3973</v>
      </c>
      <c r="M116" s="31">
        <v>30.563213000000001</v>
      </c>
      <c r="N116" s="35">
        <v>103.790001</v>
      </c>
      <c r="O116" s="40">
        <v>7.0999999999999994E-2</v>
      </c>
      <c r="P116" s="40">
        <v>7.0999999999999994E-2</v>
      </c>
      <c r="Q116" s="16">
        <f t="shared" si="13"/>
        <v>1207.6282686640309</v>
      </c>
      <c r="R116" s="16">
        <f t="shared" si="14"/>
        <v>519845.07042253524</v>
      </c>
      <c r="S116" s="45">
        <f t="shared" si="15"/>
        <v>11.934000698405308</v>
      </c>
      <c r="T116" s="40">
        <v>30</v>
      </c>
      <c r="U116" s="6" t="s">
        <v>55</v>
      </c>
      <c r="X116" t="s">
        <v>56</v>
      </c>
      <c r="Y116">
        <v>0</v>
      </c>
      <c r="Z116">
        <v>1</v>
      </c>
      <c r="AA116" s="8">
        <v>37001</v>
      </c>
      <c r="AC116" s="7" t="s">
        <v>57</v>
      </c>
      <c r="AD116" t="s">
        <v>58</v>
      </c>
    </row>
    <row r="117" spans="1:30" x14ac:dyDescent="0.25">
      <c r="A117" t="s">
        <v>288</v>
      </c>
      <c r="B117" t="s">
        <v>289</v>
      </c>
      <c r="C117" s="26">
        <v>44729</v>
      </c>
      <c r="D117" s="16">
        <v>112000</v>
      </c>
      <c r="E117" t="s">
        <v>46</v>
      </c>
      <c r="F117" t="s">
        <v>47</v>
      </c>
      <c r="G117" s="16">
        <v>112000</v>
      </c>
      <c r="H117" s="16">
        <v>25200</v>
      </c>
      <c r="I117" s="21">
        <f t="shared" si="12"/>
        <v>22.5</v>
      </c>
      <c r="J117" s="16">
        <v>67861</v>
      </c>
      <c r="K117" s="16">
        <f>G117-62850</f>
        <v>49150</v>
      </c>
      <c r="L117" s="16">
        <v>5011</v>
      </c>
      <c r="M117" s="31">
        <v>38.542704000000001</v>
      </c>
      <c r="N117" s="35">
        <v>110.040001</v>
      </c>
      <c r="O117" s="40">
        <v>0.114</v>
      </c>
      <c r="P117" s="40">
        <v>0.114</v>
      </c>
      <c r="Q117" s="16">
        <f t="shared" si="13"/>
        <v>1275.2089215120973</v>
      </c>
      <c r="R117" s="16">
        <f t="shared" si="14"/>
        <v>431140.35087719298</v>
      </c>
      <c r="S117" s="45">
        <f t="shared" si="15"/>
        <v>9.8976205435535576</v>
      </c>
      <c r="T117" s="40">
        <v>45</v>
      </c>
      <c r="U117" s="6" t="s">
        <v>55</v>
      </c>
      <c r="X117" t="s">
        <v>56</v>
      </c>
      <c r="Y117">
        <v>0</v>
      </c>
      <c r="Z117">
        <v>1</v>
      </c>
      <c r="AA117" t="s">
        <v>50</v>
      </c>
      <c r="AC117" s="7" t="s">
        <v>57</v>
      </c>
      <c r="AD117" t="s">
        <v>58</v>
      </c>
    </row>
    <row r="118" spans="1:30" x14ac:dyDescent="0.25">
      <c r="A118" t="s">
        <v>194</v>
      </c>
      <c r="B118" t="s">
        <v>195</v>
      </c>
      <c r="C118" s="26">
        <v>44321</v>
      </c>
      <c r="D118" s="16">
        <v>78478</v>
      </c>
      <c r="E118" t="s">
        <v>46</v>
      </c>
      <c r="F118" t="s">
        <v>196</v>
      </c>
      <c r="G118" s="16">
        <v>78478</v>
      </c>
      <c r="H118" s="16">
        <v>12800</v>
      </c>
      <c r="I118" s="21">
        <f t="shared" si="12"/>
        <v>16.310303524554655</v>
      </c>
      <c r="J118" s="16">
        <v>42406</v>
      </c>
      <c r="K118" s="16">
        <f>G118-38316</f>
        <v>40162</v>
      </c>
      <c r="L118" s="16">
        <v>4090</v>
      </c>
      <c r="M118" s="31">
        <v>31.464265000000001</v>
      </c>
      <c r="N118" s="35">
        <v>110</v>
      </c>
      <c r="O118" s="40">
        <v>7.5999999999999998E-2</v>
      </c>
      <c r="P118" s="40">
        <v>7.5999999999999998E-2</v>
      </c>
      <c r="Q118" s="16">
        <f t="shared" si="13"/>
        <v>1276.4321683662401</v>
      </c>
      <c r="R118" s="16">
        <f t="shared" si="14"/>
        <v>528447.3684210527</v>
      </c>
      <c r="S118" s="45">
        <f t="shared" si="15"/>
        <v>12.131482286984681</v>
      </c>
      <c r="T118" s="40">
        <v>30</v>
      </c>
      <c r="U118" s="6" t="s">
        <v>55</v>
      </c>
      <c r="X118" t="s">
        <v>56</v>
      </c>
      <c r="Y118">
        <v>0</v>
      </c>
      <c r="Z118">
        <v>1</v>
      </c>
      <c r="AA118" s="8">
        <v>37013</v>
      </c>
      <c r="AC118" s="7" t="s">
        <v>57</v>
      </c>
      <c r="AD118" t="s">
        <v>58</v>
      </c>
    </row>
    <row r="119" spans="1:30" x14ac:dyDescent="0.25">
      <c r="A119" t="s">
        <v>201</v>
      </c>
      <c r="B119" t="s">
        <v>202</v>
      </c>
      <c r="C119" s="26">
        <v>44547</v>
      </c>
      <c r="D119" s="16">
        <v>100000</v>
      </c>
      <c r="E119" t="s">
        <v>46</v>
      </c>
      <c r="F119" t="s">
        <v>47</v>
      </c>
      <c r="G119" s="16">
        <v>100000</v>
      </c>
      <c r="H119" s="16">
        <v>19000</v>
      </c>
      <c r="I119" s="21">
        <f t="shared" si="12"/>
        <v>19</v>
      </c>
      <c r="J119" s="16">
        <v>63889</v>
      </c>
      <c r="K119" s="16">
        <f>G119-59799</f>
        <v>40201</v>
      </c>
      <c r="L119" s="16">
        <v>4090</v>
      </c>
      <c r="M119" s="31">
        <v>31.464265000000001</v>
      </c>
      <c r="N119" s="35">
        <v>110</v>
      </c>
      <c r="O119" s="40">
        <v>7.5999999999999998E-2</v>
      </c>
      <c r="P119" s="40">
        <v>7.5999999999999998E-2</v>
      </c>
      <c r="Q119" s="16">
        <f t="shared" si="13"/>
        <v>1277.6716697497939</v>
      </c>
      <c r="R119" s="16">
        <f t="shared" si="14"/>
        <v>528960.52631578944</v>
      </c>
      <c r="S119" s="45">
        <f t="shared" si="15"/>
        <v>12.143262771253202</v>
      </c>
      <c r="T119" s="40">
        <v>30</v>
      </c>
      <c r="U119" s="6" t="s">
        <v>55</v>
      </c>
      <c r="X119" t="s">
        <v>56</v>
      </c>
      <c r="Y119">
        <v>0</v>
      </c>
      <c r="Z119">
        <v>1</v>
      </c>
      <c r="AA119" s="8">
        <v>37014</v>
      </c>
      <c r="AC119" s="7" t="s">
        <v>57</v>
      </c>
      <c r="AD119" t="s">
        <v>58</v>
      </c>
    </row>
    <row r="120" spans="1:30" x14ac:dyDescent="0.25">
      <c r="A120" t="s">
        <v>290</v>
      </c>
      <c r="B120" t="s">
        <v>291</v>
      </c>
      <c r="C120" s="26">
        <v>45006</v>
      </c>
      <c r="D120" s="16">
        <v>79500</v>
      </c>
      <c r="E120" t="s">
        <v>46</v>
      </c>
      <c r="F120" t="s">
        <v>47</v>
      </c>
      <c r="G120" s="16">
        <v>79500</v>
      </c>
      <c r="H120" s="16">
        <v>16000</v>
      </c>
      <c r="I120" s="21">
        <f t="shared" si="12"/>
        <v>20.125786163522015</v>
      </c>
      <c r="J120" s="16">
        <v>42869</v>
      </c>
      <c r="K120" s="16">
        <f>G120-38778</f>
        <v>40722</v>
      </c>
      <c r="L120" s="16">
        <v>4091</v>
      </c>
      <c r="M120" s="31">
        <v>31.469985999999999</v>
      </c>
      <c r="N120" s="35">
        <v>110.040001</v>
      </c>
      <c r="O120" s="40">
        <v>7.5999999999999998E-2</v>
      </c>
      <c r="P120" s="40">
        <v>7.5999999999999998E-2</v>
      </c>
      <c r="Q120" s="16">
        <f t="shared" si="13"/>
        <v>1293.9948559239906</v>
      </c>
      <c r="R120" s="16">
        <f t="shared" si="14"/>
        <v>535815.78947368427</v>
      </c>
      <c r="S120" s="45">
        <f t="shared" si="15"/>
        <v>12.300637958532697</v>
      </c>
      <c r="T120" s="40">
        <v>30</v>
      </c>
      <c r="U120" s="6" t="s">
        <v>55</v>
      </c>
      <c r="X120" t="s">
        <v>56</v>
      </c>
      <c r="Y120">
        <v>0</v>
      </c>
      <c r="Z120">
        <v>1</v>
      </c>
      <c r="AA120" t="s">
        <v>50</v>
      </c>
      <c r="AC120" s="7" t="s">
        <v>57</v>
      </c>
      <c r="AD120" t="s">
        <v>58</v>
      </c>
    </row>
    <row r="121" spans="1:30" x14ac:dyDescent="0.25">
      <c r="A121" t="s">
        <v>217</v>
      </c>
      <c r="B121" t="s">
        <v>218</v>
      </c>
      <c r="C121" s="26">
        <v>44939</v>
      </c>
      <c r="D121" s="16">
        <v>100000</v>
      </c>
      <c r="E121" t="s">
        <v>61</v>
      </c>
      <c r="F121" t="s">
        <v>47</v>
      </c>
      <c r="G121" s="16">
        <v>100000</v>
      </c>
      <c r="H121" s="16">
        <v>23000</v>
      </c>
      <c r="I121" s="21">
        <f t="shared" si="12"/>
        <v>23</v>
      </c>
      <c r="J121" s="16">
        <v>61396</v>
      </c>
      <c r="K121" s="16">
        <f>G121-57184</f>
        <v>42816</v>
      </c>
      <c r="L121" s="16">
        <v>4212</v>
      </c>
      <c r="M121" s="31">
        <v>32.403703</v>
      </c>
      <c r="N121" s="35">
        <v>100</v>
      </c>
      <c r="O121" s="40">
        <v>0.08</v>
      </c>
      <c r="P121" s="40">
        <v>0.08</v>
      </c>
      <c r="Q121" s="16">
        <f t="shared" si="13"/>
        <v>1321.3304664593427</v>
      </c>
      <c r="R121" s="16">
        <f t="shared" si="14"/>
        <v>535200</v>
      </c>
      <c r="S121" s="45">
        <f t="shared" si="15"/>
        <v>12.286501377410469</v>
      </c>
      <c r="T121" s="40">
        <v>35</v>
      </c>
      <c r="U121" s="6" t="s">
        <v>55</v>
      </c>
      <c r="X121" t="s">
        <v>56</v>
      </c>
      <c r="Y121">
        <v>0</v>
      </c>
      <c r="Z121">
        <v>1</v>
      </c>
      <c r="AA121" s="8">
        <v>37020</v>
      </c>
      <c r="AC121" s="7" t="s">
        <v>57</v>
      </c>
      <c r="AD121" t="s">
        <v>58</v>
      </c>
    </row>
    <row r="122" spans="1:30" x14ac:dyDescent="0.25">
      <c r="A122" t="s">
        <v>168</v>
      </c>
      <c r="B122" t="s">
        <v>169</v>
      </c>
      <c r="C122" s="26">
        <v>44665</v>
      </c>
      <c r="D122" s="16">
        <v>98000</v>
      </c>
      <c r="E122" t="s">
        <v>46</v>
      </c>
      <c r="F122" t="s">
        <v>47</v>
      </c>
      <c r="G122" s="16">
        <v>98000</v>
      </c>
      <c r="H122" s="16">
        <v>11200</v>
      </c>
      <c r="I122" s="21">
        <f t="shared" si="12"/>
        <v>11.428571428571429</v>
      </c>
      <c r="J122" s="16">
        <v>55180</v>
      </c>
      <c r="K122" s="16">
        <f>G122-50565</f>
        <v>47435</v>
      </c>
      <c r="L122" s="16">
        <v>4615</v>
      </c>
      <c r="M122" s="31">
        <v>35.496479000000001</v>
      </c>
      <c r="N122" s="35">
        <v>100</v>
      </c>
      <c r="O122" s="40">
        <v>9.6000000000000002E-2</v>
      </c>
      <c r="P122" s="40">
        <v>9.6000000000000002E-2</v>
      </c>
      <c r="Q122" s="16">
        <f t="shared" si="13"/>
        <v>1336.3297244213995</v>
      </c>
      <c r="R122" s="16">
        <f t="shared" si="14"/>
        <v>494114.58333333331</v>
      </c>
      <c r="S122" s="45">
        <f t="shared" si="15"/>
        <v>11.343309993878176</v>
      </c>
      <c r="T122" s="40">
        <v>42</v>
      </c>
      <c r="U122" s="6" t="s">
        <v>55</v>
      </c>
      <c r="X122" t="s">
        <v>56</v>
      </c>
      <c r="Y122">
        <v>0</v>
      </c>
      <c r="Z122">
        <v>1</v>
      </c>
      <c r="AA122" s="8">
        <v>37012</v>
      </c>
      <c r="AC122" s="7" t="s">
        <v>57</v>
      </c>
      <c r="AD122" t="s">
        <v>58</v>
      </c>
    </row>
    <row r="123" spans="1:30" x14ac:dyDescent="0.25">
      <c r="A123" t="s">
        <v>240</v>
      </c>
      <c r="B123" t="s">
        <v>241</v>
      </c>
      <c r="C123" s="26">
        <v>44789</v>
      </c>
      <c r="D123" s="16">
        <v>115000</v>
      </c>
      <c r="E123" t="s">
        <v>46</v>
      </c>
      <c r="F123" t="s">
        <v>47</v>
      </c>
      <c r="G123" s="16">
        <v>115000</v>
      </c>
      <c r="H123" s="16">
        <v>26800</v>
      </c>
      <c r="I123" s="21">
        <f t="shared" si="12"/>
        <v>23.304347826086957</v>
      </c>
      <c r="J123" s="16">
        <v>72762</v>
      </c>
      <c r="K123" s="16">
        <f>G123-68259</f>
        <v>46741</v>
      </c>
      <c r="L123" s="16">
        <v>4503</v>
      </c>
      <c r="M123" s="31">
        <v>34.641016</v>
      </c>
      <c r="N123" s="35">
        <v>100</v>
      </c>
      <c r="O123" s="40">
        <v>9.1999999999999998E-2</v>
      </c>
      <c r="P123" s="40">
        <v>9.1999999999999998E-2</v>
      </c>
      <c r="Q123" s="16">
        <f t="shared" si="13"/>
        <v>1349.2964525058965</v>
      </c>
      <c r="R123" s="16">
        <f t="shared" si="14"/>
        <v>508054.34782608697</v>
      </c>
      <c r="S123" s="45">
        <f t="shared" si="15"/>
        <v>11.663322952848645</v>
      </c>
      <c r="T123" s="40">
        <v>40</v>
      </c>
      <c r="U123" s="6" t="s">
        <v>55</v>
      </c>
      <c r="X123" t="s">
        <v>56</v>
      </c>
      <c r="Y123">
        <v>0</v>
      </c>
      <c r="Z123">
        <v>1</v>
      </c>
      <c r="AA123" s="8">
        <v>37018</v>
      </c>
      <c r="AC123" s="7" t="s">
        <v>57</v>
      </c>
      <c r="AD123" t="s">
        <v>58</v>
      </c>
    </row>
    <row r="124" spans="1:30" x14ac:dyDescent="0.25">
      <c r="A124" t="s">
        <v>205</v>
      </c>
      <c r="B124" t="s">
        <v>206</v>
      </c>
      <c r="C124" s="26">
        <v>44827</v>
      </c>
      <c r="D124" s="16">
        <v>132000</v>
      </c>
      <c r="E124" t="s">
        <v>61</v>
      </c>
      <c r="F124" t="s">
        <v>47</v>
      </c>
      <c r="G124" s="16">
        <v>132000</v>
      </c>
      <c r="H124" s="16">
        <v>31500</v>
      </c>
      <c r="I124" s="21">
        <f t="shared" si="12"/>
        <v>23.863636363636363</v>
      </c>
      <c r="J124" s="16">
        <v>85069</v>
      </c>
      <c r="K124" s="16">
        <f>G124-80292</f>
        <v>51708</v>
      </c>
      <c r="L124" s="16">
        <v>4777</v>
      </c>
      <c r="M124" s="31">
        <v>36.742345999999998</v>
      </c>
      <c r="N124" s="35">
        <v>100</v>
      </c>
      <c r="O124" s="40">
        <v>0.10299999999999999</v>
      </c>
      <c r="P124" s="40">
        <v>0.10299999999999999</v>
      </c>
      <c r="Q124" s="16">
        <f t="shared" si="13"/>
        <v>1407.3135123162795</v>
      </c>
      <c r="R124" s="16">
        <f t="shared" si="14"/>
        <v>502019.4174757282</v>
      </c>
      <c r="S124" s="45">
        <f t="shared" si="15"/>
        <v>11.524780015512585</v>
      </c>
      <c r="T124" s="40">
        <v>45</v>
      </c>
      <c r="U124" s="6" t="s">
        <v>55</v>
      </c>
      <c r="X124" t="s">
        <v>56</v>
      </c>
      <c r="Y124">
        <v>0</v>
      </c>
      <c r="Z124">
        <v>1</v>
      </c>
      <c r="AA124" s="8">
        <v>37004</v>
      </c>
      <c r="AC124" s="7" t="s">
        <v>57</v>
      </c>
      <c r="AD124" t="s">
        <v>58</v>
      </c>
    </row>
    <row r="125" spans="1:30" x14ac:dyDescent="0.25">
      <c r="A125" t="s">
        <v>228</v>
      </c>
      <c r="B125" t="s">
        <v>229</v>
      </c>
      <c r="C125" s="26">
        <v>44461</v>
      </c>
      <c r="D125" s="16">
        <v>91000</v>
      </c>
      <c r="E125" t="s">
        <v>46</v>
      </c>
      <c r="F125" t="s">
        <v>135</v>
      </c>
      <c r="G125" s="16">
        <v>91000</v>
      </c>
      <c r="H125" s="16">
        <v>15900</v>
      </c>
      <c r="I125" s="21">
        <f t="shared" si="12"/>
        <v>17.472527472527471</v>
      </c>
      <c r="J125" s="16">
        <v>50233</v>
      </c>
      <c r="K125" s="16">
        <f>G125-46333</f>
        <v>44667</v>
      </c>
      <c r="L125" s="16">
        <v>3900</v>
      </c>
      <c r="M125" s="31">
        <v>30</v>
      </c>
      <c r="N125" s="35">
        <v>100</v>
      </c>
      <c r="O125" s="40">
        <v>6.9000000000000006E-2</v>
      </c>
      <c r="P125" s="40">
        <v>6.9000000000000006E-2</v>
      </c>
      <c r="Q125" s="16">
        <f t="shared" si="13"/>
        <v>1488.9</v>
      </c>
      <c r="R125" s="16">
        <f t="shared" si="14"/>
        <v>647347.82608695643</v>
      </c>
      <c r="S125" s="45">
        <f t="shared" si="15"/>
        <v>14.861061204934721</v>
      </c>
      <c r="T125" s="40">
        <v>30</v>
      </c>
      <c r="U125" s="6" t="s">
        <v>55</v>
      </c>
      <c r="X125" t="s">
        <v>56</v>
      </c>
      <c r="Y125">
        <v>0</v>
      </c>
      <c r="Z125">
        <v>1</v>
      </c>
      <c r="AA125" s="8">
        <v>37014</v>
      </c>
      <c r="AC125" s="7" t="s">
        <v>57</v>
      </c>
      <c r="AD125" t="s">
        <v>58</v>
      </c>
    </row>
    <row r="126" spans="1:30" x14ac:dyDescent="0.25">
      <c r="A126" t="s">
        <v>103</v>
      </c>
      <c r="B126" t="s">
        <v>104</v>
      </c>
      <c r="C126" s="26">
        <v>44846</v>
      </c>
      <c r="D126" s="16">
        <v>117000</v>
      </c>
      <c r="E126" t="s">
        <v>61</v>
      </c>
      <c r="F126" t="s">
        <v>47</v>
      </c>
      <c r="G126" s="16">
        <v>117000</v>
      </c>
      <c r="H126" s="16">
        <v>27600</v>
      </c>
      <c r="I126" s="21">
        <f t="shared" si="12"/>
        <v>23.589743589743588</v>
      </c>
      <c r="J126" s="16">
        <v>74111</v>
      </c>
      <c r="K126" s="16">
        <f>G126-70058</f>
        <v>46942</v>
      </c>
      <c r="L126" s="16">
        <v>4053</v>
      </c>
      <c r="M126" s="31">
        <v>31.176915000000001</v>
      </c>
      <c r="N126" s="35">
        <v>108</v>
      </c>
      <c r="O126" s="40">
        <v>7.3999999999999996E-2</v>
      </c>
      <c r="P126" s="40">
        <v>7.3999999999999996E-2</v>
      </c>
      <c r="Q126" s="16">
        <f t="shared" si="13"/>
        <v>1505.665329619688</v>
      </c>
      <c r="R126" s="16">
        <f t="shared" si="14"/>
        <v>634351.35135135136</v>
      </c>
      <c r="S126" s="45">
        <f t="shared" si="15"/>
        <v>14.562703199066835</v>
      </c>
      <c r="T126" s="40">
        <v>30</v>
      </c>
      <c r="U126" s="6" t="s">
        <v>55</v>
      </c>
      <c r="X126" t="s">
        <v>56</v>
      </c>
      <c r="Y126">
        <v>0</v>
      </c>
      <c r="Z126">
        <v>1</v>
      </c>
      <c r="AA126" s="8">
        <v>37011</v>
      </c>
      <c r="AC126" s="7" t="s">
        <v>57</v>
      </c>
      <c r="AD126" t="s">
        <v>58</v>
      </c>
    </row>
    <row r="127" spans="1:30" x14ac:dyDescent="0.25">
      <c r="A127" t="s">
        <v>133</v>
      </c>
      <c r="B127" t="s">
        <v>134</v>
      </c>
      <c r="C127" s="26">
        <v>44390</v>
      </c>
      <c r="D127" s="16">
        <v>92500</v>
      </c>
      <c r="E127" t="s">
        <v>46</v>
      </c>
      <c r="F127" t="s">
        <v>135</v>
      </c>
      <c r="G127" s="16">
        <v>92500</v>
      </c>
      <c r="H127" s="16">
        <v>16100</v>
      </c>
      <c r="I127" s="21">
        <f t="shared" si="12"/>
        <v>17.405405405405403</v>
      </c>
      <c r="J127" s="16">
        <v>50980</v>
      </c>
      <c r="K127" s="16">
        <f>G127-47080</f>
        <v>45420</v>
      </c>
      <c r="L127" s="16">
        <v>3900</v>
      </c>
      <c r="M127" s="31">
        <v>30</v>
      </c>
      <c r="N127" s="35">
        <v>100</v>
      </c>
      <c r="O127" s="40">
        <v>6.9000000000000006E-2</v>
      </c>
      <c r="P127" s="40">
        <v>6.9000000000000006E-2</v>
      </c>
      <c r="Q127" s="16">
        <f t="shared" si="13"/>
        <v>1514</v>
      </c>
      <c r="R127" s="16">
        <f t="shared" si="14"/>
        <v>658260.86956521729</v>
      </c>
      <c r="S127" s="45">
        <f t="shared" si="15"/>
        <v>15.111590210404437</v>
      </c>
      <c r="T127" s="40">
        <v>30</v>
      </c>
      <c r="U127" s="6" t="s">
        <v>55</v>
      </c>
      <c r="X127" t="s">
        <v>56</v>
      </c>
      <c r="Y127">
        <v>0</v>
      </c>
      <c r="Z127">
        <v>1</v>
      </c>
      <c r="AA127" t="s">
        <v>50</v>
      </c>
      <c r="AC127" s="7" t="s">
        <v>57</v>
      </c>
      <c r="AD127" t="s">
        <v>58</v>
      </c>
    </row>
    <row r="128" spans="1:30" x14ac:dyDescent="0.25">
      <c r="A128" t="s">
        <v>294</v>
      </c>
      <c r="B128" t="s">
        <v>295</v>
      </c>
      <c r="C128" s="26">
        <v>44620</v>
      </c>
      <c r="D128" s="16">
        <v>120000</v>
      </c>
      <c r="E128" t="s">
        <v>46</v>
      </c>
      <c r="F128" t="s">
        <v>47</v>
      </c>
      <c r="G128" s="16">
        <v>120000</v>
      </c>
      <c r="H128" s="16">
        <v>23200</v>
      </c>
      <c r="I128" s="21">
        <f t="shared" si="12"/>
        <v>19.333333333333332</v>
      </c>
      <c r="J128" s="16">
        <v>77518</v>
      </c>
      <c r="K128" s="16">
        <f>G128-73618</f>
        <v>46382</v>
      </c>
      <c r="L128" s="16">
        <v>3900</v>
      </c>
      <c r="M128" s="31">
        <v>30</v>
      </c>
      <c r="N128" s="35">
        <v>100</v>
      </c>
      <c r="O128" s="40">
        <v>6.9000000000000006E-2</v>
      </c>
      <c r="P128" s="40">
        <v>6.9000000000000006E-2</v>
      </c>
      <c r="Q128" s="16">
        <f t="shared" si="13"/>
        <v>1546.0666666666666</v>
      </c>
      <c r="R128" s="16">
        <f t="shared" si="14"/>
        <v>672202.89855072461</v>
      </c>
      <c r="S128" s="45">
        <f t="shared" si="15"/>
        <v>15.431655154975312</v>
      </c>
      <c r="T128" s="40">
        <v>30</v>
      </c>
      <c r="U128" s="6" t="s">
        <v>55</v>
      </c>
      <c r="X128" t="s">
        <v>56</v>
      </c>
      <c r="Y128">
        <v>0</v>
      </c>
      <c r="Z128">
        <v>1</v>
      </c>
      <c r="AA128" s="8">
        <v>37020</v>
      </c>
      <c r="AC128" s="7" t="s">
        <v>57</v>
      </c>
      <c r="AD128" t="s">
        <v>58</v>
      </c>
    </row>
    <row r="129" spans="1:44" x14ac:dyDescent="0.25">
      <c r="A129" t="s">
        <v>268</v>
      </c>
      <c r="B129" t="s">
        <v>269</v>
      </c>
      <c r="C129" s="26">
        <v>44589</v>
      </c>
      <c r="D129" s="16">
        <v>120000</v>
      </c>
      <c r="E129" t="s">
        <v>46</v>
      </c>
      <c r="F129" t="s">
        <v>47</v>
      </c>
      <c r="G129" s="16">
        <v>120000</v>
      </c>
      <c r="H129" s="16">
        <v>21000</v>
      </c>
      <c r="I129" s="21">
        <f t="shared" si="12"/>
        <v>17.5</v>
      </c>
      <c r="J129" s="16">
        <v>70671</v>
      </c>
      <c r="K129" s="16">
        <f>G129-66311</f>
        <v>53689</v>
      </c>
      <c r="L129" s="16">
        <v>4360</v>
      </c>
      <c r="M129" s="31">
        <v>33.541020000000003</v>
      </c>
      <c r="N129" s="35">
        <v>100</v>
      </c>
      <c r="O129" s="40">
        <v>8.5999999999999993E-2</v>
      </c>
      <c r="P129" s="40">
        <v>8.5999999999999993E-2</v>
      </c>
      <c r="Q129" s="16">
        <f t="shared" si="13"/>
        <v>1600.6966991462989</v>
      </c>
      <c r="R129" s="16">
        <f t="shared" si="14"/>
        <v>624290.69767441868</v>
      </c>
      <c r="S129" s="45">
        <f t="shared" si="15"/>
        <v>14.331742370854423</v>
      </c>
      <c r="T129" s="40">
        <v>37.5</v>
      </c>
      <c r="U129" s="6" t="s">
        <v>55</v>
      </c>
      <c r="X129" t="s">
        <v>56</v>
      </c>
      <c r="Y129">
        <v>0</v>
      </c>
      <c r="Z129">
        <v>1</v>
      </c>
      <c r="AA129" s="8">
        <v>37020</v>
      </c>
      <c r="AC129" s="7" t="s">
        <v>57</v>
      </c>
      <c r="AD129" t="s">
        <v>58</v>
      </c>
    </row>
    <row r="130" spans="1:44" x14ac:dyDescent="0.25">
      <c r="A130" t="s">
        <v>325</v>
      </c>
      <c r="B130" t="s">
        <v>326</v>
      </c>
      <c r="C130" s="26">
        <v>44747</v>
      </c>
      <c r="D130" s="16">
        <v>149900</v>
      </c>
      <c r="E130" t="s">
        <v>46</v>
      </c>
      <c r="F130" t="s">
        <v>47</v>
      </c>
      <c r="G130" s="16">
        <v>149900</v>
      </c>
      <c r="H130" s="16">
        <v>25100</v>
      </c>
      <c r="I130" s="21">
        <f t="shared" ref="I130:I134" si="16">H130/G130*100</f>
        <v>16.744496330887255</v>
      </c>
      <c r="J130" s="16">
        <v>69611</v>
      </c>
      <c r="K130" s="16">
        <f>G130-63222</f>
        <v>86678</v>
      </c>
      <c r="L130" s="16">
        <v>6389</v>
      </c>
      <c r="M130" s="31">
        <v>53.244717999999999</v>
      </c>
      <c r="N130" s="35">
        <v>105</v>
      </c>
      <c r="O130" s="40">
        <v>0.14499999999999999</v>
      </c>
      <c r="P130" s="40">
        <v>0.14499999999999999</v>
      </c>
      <c r="Q130" s="16">
        <f t="shared" si="13"/>
        <v>1627.917345716809</v>
      </c>
      <c r="R130" s="16">
        <f t="shared" si="14"/>
        <v>597779.31034482759</v>
      </c>
      <c r="S130" s="45">
        <f t="shared" si="15"/>
        <v>13.723124663563535</v>
      </c>
      <c r="T130" s="40">
        <v>60</v>
      </c>
      <c r="U130" s="6" t="s">
        <v>323</v>
      </c>
      <c r="X130" t="s">
        <v>324</v>
      </c>
      <c r="Y130">
        <v>0</v>
      </c>
      <c r="Z130">
        <v>1</v>
      </c>
      <c r="AA130" s="8">
        <v>37027</v>
      </c>
      <c r="AC130" s="7" t="s">
        <v>57</v>
      </c>
      <c r="AD130" t="s">
        <v>58</v>
      </c>
    </row>
    <row r="131" spans="1:44" x14ac:dyDescent="0.25">
      <c r="A131" t="s">
        <v>270</v>
      </c>
      <c r="B131" t="s">
        <v>271</v>
      </c>
      <c r="C131" s="26">
        <v>44698</v>
      </c>
      <c r="D131" s="16">
        <v>151000</v>
      </c>
      <c r="E131" t="s">
        <v>46</v>
      </c>
      <c r="F131" t="s">
        <v>47</v>
      </c>
      <c r="G131" s="16">
        <v>151000</v>
      </c>
      <c r="H131" s="16">
        <v>32600</v>
      </c>
      <c r="I131" s="21">
        <f t="shared" si="16"/>
        <v>21.589403973509931</v>
      </c>
      <c r="J131" s="16">
        <v>86982</v>
      </c>
      <c r="K131" s="16">
        <f>G131-81467</f>
        <v>69533</v>
      </c>
      <c r="L131" s="16">
        <v>5515</v>
      </c>
      <c r="M131" s="31">
        <v>42.426406999999998</v>
      </c>
      <c r="N131" s="35">
        <v>100</v>
      </c>
      <c r="O131" s="40">
        <v>0.13800000000000001</v>
      </c>
      <c r="P131" s="40">
        <v>0.13800000000000001</v>
      </c>
      <c r="Q131" s="16">
        <f t="shared" si="13"/>
        <v>1638.9085222323918</v>
      </c>
      <c r="R131" s="16">
        <f t="shared" si="14"/>
        <v>503862.31884057965</v>
      </c>
      <c r="S131" s="45">
        <f t="shared" si="15"/>
        <v>11.567087209379698</v>
      </c>
      <c r="T131" s="40">
        <v>60</v>
      </c>
      <c r="U131" s="6" t="s">
        <v>55</v>
      </c>
      <c r="X131" t="s">
        <v>56</v>
      </c>
      <c r="Y131">
        <v>0</v>
      </c>
      <c r="Z131">
        <v>1</v>
      </c>
      <c r="AA131" s="8">
        <v>37020</v>
      </c>
      <c r="AC131" s="7" t="s">
        <v>57</v>
      </c>
      <c r="AD131" t="s">
        <v>58</v>
      </c>
    </row>
    <row r="132" spans="1:44" x14ac:dyDescent="0.25">
      <c r="A132" t="s">
        <v>258</v>
      </c>
      <c r="B132" t="s">
        <v>259</v>
      </c>
      <c r="C132" s="26">
        <v>44830</v>
      </c>
      <c r="D132" s="16">
        <v>122000</v>
      </c>
      <c r="E132" t="s">
        <v>46</v>
      </c>
      <c r="F132" t="s">
        <v>47</v>
      </c>
      <c r="G132" s="16">
        <v>122000</v>
      </c>
      <c r="H132" s="16">
        <v>19400</v>
      </c>
      <c r="I132" s="21">
        <f t="shared" si="16"/>
        <v>15.901639344262295</v>
      </c>
      <c r="J132" s="16">
        <v>51922</v>
      </c>
      <c r="K132" s="16">
        <f>G132-46546</f>
        <v>75454</v>
      </c>
      <c r="L132" s="16">
        <v>5376</v>
      </c>
      <c r="M132" s="31">
        <v>41.352145999999998</v>
      </c>
      <c r="N132" s="35">
        <v>95</v>
      </c>
      <c r="O132" s="40">
        <v>0.13100000000000001</v>
      </c>
      <c r="P132" s="40">
        <v>0.13100000000000001</v>
      </c>
      <c r="Q132" s="16">
        <f t="shared" si="13"/>
        <v>1824.6695105013414</v>
      </c>
      <c r="R132" s="16">
        <f t="shared" si="14"/>
        <v>575984.73282442742</v>
      </c>
      <c r="S132" s="45">
        <f t="shared" si="15"/>
        <v>13.222790009743512</v>
      </c>
      <c r="T132" s="40">
        <v>60</v>
      </c>
      <c r="U132" s="6" t="s">
        <v>55</v>
      </c>
      <c r="X132" t="s">
        <v>56</v>
      </c>
      <c r="Y132">
        <v>0</v>
      </c>
      <c r="Z132">
        <v>1</v>
      </c>
      <c r="AA132" s="8">
        <v>37019</v>
      </c>
      <c r="AC132" s="7" t="s">
        <v>57</v>
      </c>
      <c r="AD132" t="s">
        <v>58</v>
      </c>
    </row>
    <row r="133" spans="1:44" x14ac:dyDescent="0.25">
      <c r="A133" t="s">
        <v>232</v>
      </c>
      <c r="B133" t="s">
        <v>233</v>
      </c>
      <c r="C133" s="26">
        <v>44832</v>
      </c>
      <c r="D133" s="16">
        <v>107500</v>
      </c>
      <c r="E133" t="s">
        <v>46</v>
      </c>
      <c r="F133" t="s">
        <v>47</v>
      </c>
      <c r="G133" s="16">
        <v>107500</v>
      </c>
      <c r="H133" s="16">
        <v>20100</v>
      </c>
      <c r="I133" s="21">
        <f t="shared" si="16"/>
        <v>18.697674418604652</v>
      </c>
      <c r="J133" s="16">
        <v>56619</v>
      </c>
      <c r="K133" s="16">
        <f>G133-52719</f>
        <v>54781</v>
      </c>
      <c r="L133" s="16">
        <v>3900</v>
      </c>
      <c r="M133" s="31">
        <v>30</v>
      </c>
      <c r="N133" s="35">
        <v>100</v>
      </c>
      <c r="O133" s="40">
        <v>6.9000000000000006E-2</v>
      </c>
      <c r="P133" s="40">
        <v>6.9000000000000006E-2</v>
      </c>
      <c r="Q133" s="16">
        <f t="shared" si="13"/>
        <v>1826.0333333333333</v>
      </c>
      <c r="R133" s="16">
        <f t="shared" si="14"/>
        <v>793927.53623188403</v>
      </c>
      <c r="S133" s="45">
        <f t="shared" si="15"/>
        <v>18.226068324882554</v>
      </c>
      <c r="T133" s="40">
        <v>30</v>
      </c>
      <c r="U133" s="6" t="s">
        <v>55</v>
      </c>
      <c r="X133" t="s">
        <v>56</v>
      </c>
      <c r="Y133">
        <v>0</v>
      </c>
      <c r="Z133">
        <v>1</v>
      </c>
      <c r="AA133" s="8">
        <v>37014</v>
      </c>
      <c r="AC133" s="7" t="s">
        <v>57</v>
      </c>
      <c r="AD133" t="s">
        <v>58</v>
      </c>
    </row>
    <row r="134" spans="1:44" ht="15.75" thickBot="1" x14ac:dyDescent="0.3">
      <c r="A134" t="s">
        <v>203</v>
      </c>
      <c r="B134" t="s">
        <v>204</v>
      </c>
      <c r="C134" s="26">
        <v>44722</v>
      </c>
      <c r="D134" s="16">
        <v>100000</v>
      </c>
      <c r="E134" t="s">
        <v>61</v>
      </c>
      <c r="F134" t="s">
        <v>47</v>
      </c>
      <c r="G134" s="16">
        <v>100000</v>
      </c>
      <c r="H134" s="16">
        <v>17600</v>
      </c>
      <c r="I134" s="21">
        <f t="shared" si="16"/>
        <v>17.599999999999998</v>
      </c>
      <c r="J134" s="16">
        <v>49085</v>
      </c>
      <c r="K134" s="16">
        <f>G134-45185</f>
        <v>54815</v>
      </c>
      <c r="L134" s="16">
        <v>3900</v>
      </c>
      <c r="M134" s="31">
        <v>30</v>
      </c>
      <c r="N134" s="35">
        <v>100</v>
      </c>
      <c r="O134" s="40">
        <v>6.9000000000000006E-2</v>
      </c>
      <c r="P134" s="40">
        <v>6.9000000000000006E-2</v>
      </c>
      <c r="Q134" s="16">
        <f t="shared" si="13"/>
        <v>1827.1666666666667</v>
      </c>
      <c r="R134" s="16">
        <f t="shared" si="14"/>
        <v>794420.28985507239</v>
      </c>
      <c r="S134" s="45">
        <f t="shared" si="15"/>
        <v>18.237380391530589</v>
      </c>
      <c r="T134" s="40">
        <v>30</v>
      </c>
      <c r="U134" s="6" t="s">
        <v>55</v>
      </c>
      <c r="X134" t="s">
        <v>56</v>
      </c>
      <c r="Y134">
        <v>0</v>
      </c>
      <c r="Z134">
        <v>1</v>
      </c>
      <c r="AA134" s="8">
        <v>40583</v>
      </c>
      <c r="AC134" s="7" t="s">
        <v>57</v>
      </c>
      <c r="AD134" t="s">
        <v>58</v>
      </c>
    </row>
    <row r="135" spans="1:44" ht="15.75" thickTop="1" x14ac:dyDescent="0.25">
      <c r="A135" s="9"/>
      <c r="B135" s="9"/>
      <c r="C135" s="27" t="s">
        <v>348</v>
      </c>
      <c r="D135" s="17">
        <f>+SUM(D2:D134)</f>
        <v>9643399</v>
      </c>
      <c r="E135" s="9"/>
      <c r="F135" s="9"/>
      <c r="G135" s="17">
        <f>+SUM(G2:G134)</f>
        <v>9643399</v>
      </c>
      <c r="H135" s="17">
        <f>+SUM(H2:H134)</f>
        <v>2780900</v>
      </c>
      <c r="I135" s="22"/>
      <c r="J135" s="17">
        <f>+SUM(J2:J134)</f>
        <v>8061463</v>
      </c>
      <c r="K135" s="17">
        <f>+SUM(K2:K134)</f>
        <v>2264887</v>
      </c>
      <c r="L135" s="17">
        <f>+SUM(L2:L134)</f>
        <v>682951</v>
      </c>
      <c r="M135" s="32">
        <f>+SUM(M2:M134)</f>
        <v>5118.8584919999985</v>
      </c>
      <c r="N135" s="36"/>
      <c r="O135" s="41">
        <f>+SUM(O2:O134)</f>
        <v>13.365000000000004</v>
      </c>
      <c r="P135" s="41">
        <f>+SUM(P2:P134)</f>
        <v>12.473000000000004</v>
      </c>
      <c r="Q135" s="17"/>
      <c r="R135" s="17"/>
      <c r="S135" s="46"/>
      <c r="T135" s="41"/>
      <c r="U135" s="10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</row>
    <row r="136" spans="1:44" x14ac:dyDescent="0.25">
      <c r="A136" s="11"/>
      <c r="B136" s="11"/>
      <c r="C136" s="28"/>
      <c r="D136" s="18"/>
      <c r="E136" s="11"/>
      <c r="F136" s="11"/>
      <c r="G136" s="18"/>
      <c r="H136" s="18" t="s">
        <v>349</v>
      </c>
      <c r="I136" s="23">
        <f>H135/G135*100</f>
        <v>28.837342517923396</v>
      </c>
      <c r="J136" s="18"/>
      <c r="K136" s="18"/>
      <c r="L136" s="18" t="s">
        <v>350</v>
      </c>
      <c r="M136" s="33"/>
      <c r="N136" s="37"/>
      <c r="O136" s="42" t="s">
        <v>350</v>
      </c>
      <c r="P136" s="42"/>
      <c r="Q136" s="18"/>
      <c r="R136" s="18" t="s">
        <v>350</v>
      </c>
      <c r="S136" s="47"/>
      <c r="T136" s="42"/>
      <c r="U136" s="12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</row>
    <row r="137" spans="1:44" x14ac:dyDescent="0.25">
      <c r="A137" s="13"/>
      <c r="B137" s="13"/>
      <c r="C137" s="29"/>
      <c r="D137" s="19"/>
      <c r="E137" s="13"/>
      <c r="F137" s="13"/>
      <c r="G137" s="19"/>
      <c r="H137" s="19" t="s">
        <v>351</v>
      </c>
      <c r="I137" s="24">
        <f>STDEV(I2:I134)</f>
        <v>16.477902558346837</v>
      </c>
      <c r="J137" s="19"/>
      <c r="K137" s="19"/>
      <c r="L137" s="19" t="s">
        <v>352</v>
      </c>
      <c r="M137" s="49">
        <f>K135/M135</f>
        <v>442.45938885391649</v>
      </c>
      <c r="N137" s="38"/>
      <c r="O137" s="43" t="s">
        <v>353</v>
      </c>
      <c r="P137" s="43">
        <f>K135/O135</f>
        <v>169464.04788627007</v>
      </c>
      <c r="Q137" s="19"/>
      <c r="R137" s="19" t="s">
        <v>354</v>
      </c>
      <c r="S137" s="48">
        <f>K135/O135/43560</f>
        <v>3.8903592260392577</v>
      </c>
      <c r="T137" s="43"/>
      <c r="U137" s="14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</row>
  </sheetData>
  <sortState ref="A2:BL139">
    <sortCondition ref="Q2:Q139"/>
  </sortState>
  <conditionalFormatting sqref="A2:AR134">
    <cfRule type="expression" dxfId="7" priority="1" stopIfTrue="1">
      <formula>MOD(ROW(),4)&gt;1</formula>
    </cfRule>
    <cfRule type="expression" dxfId="6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1"/>
  <sheetViews>
    <sheetView topLeftCell="E145" workbookViewId="0">
      <selection activeCell="I123" sqref="I123"/>
    </sheetView>
  </sheetViews>
  <sheetFormatPr defaultRowHeight="15" x14ac:dyDescent="0.25"/>
  <cols>
    <col min="1" max="1" width="16.85546875" bestFit="1" customWidth="1"/>
    <col min="2" max="2" width="16.140625" bestFit="1" customWidth="1"/>
    <col min="3" max="3" width="16.7109375" style="26" customWidth="1"/>
    <col min="4" max="4" width="17.7109375" style="16" customWidth="1"/>
    <col min="5" max="5" width="8.7109375" customWidth="1"/>
    <col min="6" max="6" width="25.140625" customWidth="1"/>
    <col min="7" max="8" width="17.7109375" style="16" customWidth="1"/>
    <col min="9" max="9" width="18.7109375" style="21" customWidth="1"/>
    <col min="10" max="10" width="17.7109375" style="16" customWidth="1"/>
    <col min="11" max="11" width="18.7109375" style="16" customWidth="1"/>
    <col min="12" max="13" width="20.7109375" style="16" customWidth="1"/>
    <col min="14" max="14" width="17.7109375" style="31" customWidth="1"/>
    <col min="15" max="15" width="10.7109375" style="35" customWidth="1"/>
    <col min="16" max="16" width="14.7109375" style="40" customWidth="1"/>
    <col min="17" max="17" width="16.7109375" style="40" customWidth="1"/>
    <col min="18" max="18" width="15.7109375" style="16" customWidth="1"/>
    <col min="19" max="19" width="17.7109375" style="16" customWidth="1"/>
    <col min="20" max="20" width="17.7109375" style="45" customWidth="1"/>
    <col min="21" max="21" width="17.7109375" style="40" customWidth="1"/>
    <col min="22" max="22" width="20.7109375" style="5" customWidth="1"/>
    <col min="23" max="23" width="40.7109375" customWidth="1"/>
    <col min="24" max="24" width="15.7109375" customWidth="1"/>
    <col min="25" max="25" width="13.7109375" customWidth="1"/>
    <col min="26" max="27" width="20.7109375" customWidth="1"/>
  </cols>
  <sheetData>
    <row r="1" spans="1:45" x14ac:dyDescent="0.25">
      <c r="A1" t="s">
        <v>359</v>
      </c>
    </row>
    <row r="2" spans="1:45" x14ac:dyDescent="0.25">
      <c r="A2" s="2" t="s">
        <v>0</v>
      </c>
      <c r="B2" s="2" t="s">
        <v>1</v>
      </c>
      <c r="C2" s="25" t="s">
        <v>2</v>
      </c>
      <c r="D2" s="15" t="s">
        <v>3</v>
      </c>
      <c r="E2" s="2" t="s">
        <v>4</v>
      </c>
      <c r="F2" s="2" t="s">
        <v>5</v>
      </c>
      <c r="G2" s="15" t="s">
        <v>6</v>
      </c>
      <c r="H2" s="15" t="s">
        <v>7</v>
      </c>
      <c r="I2" s="20" t="s">
        <v>8</v>
      </c>
      <c r="J2" s="15" t="s">
        <v>9</v>
      </c>
      <c r="K2" s="15" t="s">
        <v>10</v>
      </c>
      <c r="L2" s="15" t="s">
        <v>11</v>
      </c>
      <c r="M2" s="15" t="s">
        <v>355</v>
      </c>
      <c r="N2" s="30" t="s">
        <v>12</v>
      </c>
      <c r="O2" s="34" t="s">
        <v>13</v>
      </c>
      <c r="P2" s="39" t="s">
        <v>14</v>
      </c>
      <c r="Q2" s="39" t="s">
        <v>15</v>
      </c>
      <c r="R2" s="15" t="s">
        <v>16</v>
      </c>
      <c r="S2" s="15" t="s">
        <v>17</v>
      </c>
      <c r="T2" s="44" t="s">
        <v>18</v>
      </c>
      <c r="U2" s="39" t="s">
        <v>19</v>
      </c>
      <c r="V2" s="4" t="s">
        <v>20</v>
      </c>
      <c r="W2" s="2" t="s">
        <v>22</v>
      </c>
      <c r="X2" s="2" t="s">
        <v>23</v>
      </c>
      <c r="Y2" s="2" t="s">
        <v>27</v>
      </c>
      <c r="Z2" s="2" t="s">
        <v>28</v>
      </c>
      <c r="AA2" s="2" t="s">
        <v>29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x14ac:dyDescent="0.25">
      <c r="A3" t="s">
        <v>272</v>
      </c>
      <c r="B3" t="s">
        <v>273</v>
      </c>
      <c r="C3" s="26">
        <v>44407</v>
      </c>
      <c r="D3" s="16">
        <v>42000</v>
      </c>
      <c r="E3" t="s">
        <v>46</v>
      </c>
      <c r="F3" t="s">
        <v>135</v>
      </c>
      <c r="G3" s="16">
        <v>42000</v>
      </c>
      <c r="H3" s="16">
        <v>23800</v>
      </c>
      <c r="I3" s="21">
        <f t="shared" ref="I3:I34" si="0">H3/G3*100</f>
        <v>56.666666666666664</v>
      </c>
      <c r="J3" s="16">
        <v>75630</v>
      </c>
      <c r="K3" s="16">
        <f>G3-71730</f>
        <v>-29730</v>
      </c>
      <c r="L3" s="16">
        <v>3900</v>
      </c>
      <c r="M3" s="50">
        <f>L3/D3</f>
        <v>9.285714285714286E-2</v>
      </c>
      <c r="N3" s="31">
        <v>30</v>
      </c>
      <c r="O3" s="35">
        <v>100</v>
      </c>
      <c r="P3" s="40">
        <v>6.9000000000000006E-2</v>
      </c>
      <c r="Q3" s="40">
        <v>6.9000000000000006E-2</v>
      </c>
      <c r="R3" s="16">
        <f t="shared" ref="R3:R34" si="1">K3/N3</f>
        <v>-991</v>
      </c>
      <c r="S3" s="16">
        <f t="shared" ref="S3:S34" si="2">K3/P3</f>
        <v>-430869.5652173913</v>
      </c>
      <c r="T3" s="45">
        <f t="shared" ref="T3:T34" si="3">K3/P3/43560</f>
        <v>-9.8914041601788636</v>
      </c>
      <c r="U3" s="40">
        <v>30</v>
      </c>
      <c r="V3" s="6" t="s">
        <v>55</v>
      </c>
      <c r="X3" t="s">
        <v>56</v>
      </c>
      <c r="Z3" s="7" t="s">
        <v>57</v>
      </c>
      <c r="AA3" t="s">
        <v>58</v>
      </c>
    </row>
    <row r="4" spans="1:45" x14ac:dyDescent="0.25">
      <c r="A4" t="s">
        <v>151</v>
      </c>
      <c r="B4" t="s">
        <v>152</v>
      </c>
      <c r="C4" s="26">
        <v>44637</v>
      </c>
      <c r="D4" s="16">
        <v>48000</v>
      </c>
      <c r="E4" t="s">
        <v>61</v>
      </c>
      <c r="F4" t="s">
        <v>47</v>
      </c>
      <c r="G4" s="16">
        <v>48000</v>
      </c>
      <c r="H4" s="16">
        <v>24800</v>
      </c>
      <c r="I4" s="21">
        <f t="shared" si="0"/>
        <v>51.666666666666671</v>
      </c>
      <c r="J4" s="16">
        <v>79379</v>
      </c>
      <c r="K4" s="16">
        <f>G4-75479</f>
        <v>-27479</v>
      </c>
      <c r="L4" s="16">
        <v>3900</v>
      </c>
      <c r="M4" s="50">
        <f t="shared" ref="M4:M67" si="4">L4/D4</f>
        <v>8.1250000000000003E-2</v>
      </c>
      <c r="N4" s="31">
        <v>30</v>
      </c>
      <c r="O4" s="35">
        <v>100</v>
      </c>
      <c r="P4" s="40">
        <v>6.9000000000000006E-2</v>
      </c>
      <c r="Q4" s="40">
        <v>6.9000000000000006E-2</v>
      </c>
      <c r="R4" s="16">
        <f t="shared" si="1"/>
        <v>-915.9666666666667</v>
      </c>
      <c r="S4" s="16">
        <f t="shared" si="2"/>
        <v>-398246.37681159418</v>
      </c>
      <c r="T4" s="45">
        <f t="shared" si="3"/>
        <v>-9.142478806510427</v>
      </c>
      <c r="U4" s="40">
        <v>30</v>
      </c>
      <c r="V4" s="6" t="s">
        <v>55</v>
      </c>
      <c r="X4" t="s">
        <v>56</v>
      </c>
      <c r="Z4" s="7" t="s">
        <v>57</v>
      </c>
      <c r="AA4" t="s">
        <v>58</v>
      </c>
    </row>
    <row r="5" spans="1:45" x14ac:dyDescent="0.25">
      <c r="A5" t="s">
        <v>97</v>
      </c>
      <c r="B5" t="s">
        <v>98</v>
      </c>
      <c r="C5" s="26">
        <v>44314</v>
      </c>
      <c r="D5" s="16">
        <v>64000</v>
      </c>
      <c r="E5" t="s">
        <v>46</v>
      </c>
      <c r="F5" t="s">
        <v>47</v>
      </c>
      <c r="G5" s="16">
        <v>64000</v>
      </c>
      <c r="H5" s="16">
        <v>30500</v>
      </c>
      <c r="I5" s="21">
        <f t="shared" si="0"/>
        <v>47.65625</v>
      </c>
      <c r="J5" s="16">
        <v>96000</v>
      </c>
      <c r="K5" s="16">
        <f>G5-91947</f>
        <v>-27947</v>
      </c>
      <c r="L5" s="16">
        <v>4053</v>
      </c>
      <c r="M5" s="50">
        <f t="shared" si="4"/>
        <v>6.3328124999999999E-2</v>
      </c>
      <c r="N5" s="31">
        <v>31.176915000000001</v>
      </c>
      <c r="O5" s="35">
        <v>108</v>
      </c>
      <c r="P5" s="40">
        <v>7.3999999999999996E-2</v>
      </c>
      <c r="Q5" s="40">
        <v>7.3999999999999996E-2</v>
      </c>
      <c r="R5" s="16">
        <f t="shared" si="1"/>
        <v>-896.40042961274389</v>
      </c>
      <c r="S5" s="16">
        <f t="shared" si="2"/>
        <v>-377662.16216216219</v>
      </c>
      <c r="T5" s="45">
        <f t="shared" si="3"/>
        <v>-8.6699302608393527</v>
      </c>
      <c r="U5" s="40">
        <v>30</v>
      </c>
      <c r="V5" s="6" t="s">
        <v>55</v>
      </c>
      <c r="X5" t="s">
        <v>56</v>
      </c>
      <c r="Z5" s="7" t="s">
        <v>57</v>
      </c>
      <c r="AA5" t="s">
        <v>58</v>
      </c>
    </row>
    <row r="6" spans="1:45" x14ac:dyDescent="0.25">
      <c r="A6" t="s">
        <v>234</v>
      </c>
      <c r="B6" t="s">
        <v>235</v>
      </c>
      <c r="C6" s="26">
        <v>44362</v>
      </c>
      <c r="D6" s="16">
        <v>67000</v>
      </c>
      <c r="E6" t="s">
        <v>46</v>
      </c>
      <c r="F6" t="s">
        <v>47</v>
      </c>
      <c r="G6" s="16">
        <v>67000</v>
      </c>
      <c r="H6" s="16">
        <v>33100</v>
      </c>
      <c r="I6" s="21">
        <f t="shared" si="0"/>
        <v>49.402985074626862</v>
      </c>
      <c r="J6" s="16">
        <v>104150</v>
      </c>
      <c r="K6" s="16">
        <f>G6-99373</f>
        <v>-32373</v>
      </c>
      <c r="L6" s="16">
        <v>4777</v>
      </c>
      <c r="M6" s="50">
        <f t="shared" si="4"/>
        <v>7.1298507462686567E-2</v>
      </c>
      <c r="N6" s="31">
        <v>36.742345999999998</v>
      </c>
      <c r="O6" s="35">
        <v>100</v>
      </c>
      <c r="P6" s="40">
        <v>0.10299999999999999</v>
      </c>
      <c r="Q6" s="40">
        <v>0.10299999999999999</v>
      </c>
      <c r="R6" s="16">
        <f t="shared" si="1"/>
        <v>-881.08146387821841</v>
      </c>
      <c r="S6" s="16">
        <f t="shared" si="2"/>
        <v>-314300.97087378643</v>
      </c>
      <c r="T6" s="45">
        <f t="shared" si="3"/>
        <v>-7.2153574580759052</v>
      </c>
      <c r="U6" s="40">
        <v>45</v>
      </c>
      <c r="V6" s="6" t="s">
        <v>55</v>
      </c>
      <c r="X6" t="s">
        <v>56</v>
      </c>
      <c r="Z6" s="7" t="s">
        <v>57</v>
      </c>
      <c r="AA6" t="s">
        <v>58</v>
      </c>
    </row>
    <row r="7" spans="1:45" x14ac:dyDescent="0.25">
      <c r="A7" t="s">
        <v>142</v>
      </c>
      <c r="B7" t="s">
        <v>143</v>
      </c>
      <c r="C7" s="26">
        <v>44665</v>
      </c>
      <c r="D7" s="16">
        <v>27000</v>
      </c>
      <c r="E7" t="s">
        <v>61</v>
      </c>
      <c r="F7" t="s">
        <v>47</v>
      </c>
      <c r="G7" s="16">
        <v>27000</v>
      </c>
      <c r="H7" s="16">
        <v>19300</v>
      </c>
      <c r="I7" s="21">
        <f t="shared" si="0"/>
        <v>71.481481481481481</v>
      </c>
      <c r="J7" s="16">
        <v>53213</v>
      </c>
      <c r="K7" s="16">
        <f>G7-49313</f>
        <v>-22313</v>
      </c>
      <c r="L7" s="16">
        <v>3900</v>
      </c>
      <c r="M7" s="50">
        <f t="shared" si="4"/>
        <v>0.14444444444444443</v>
      </c>
      <c r="N7" s="31">
        <v>30</v>
      </c>
      <c r="O7" s="35">
        <v>100</v>
      </c>
      <c r="P7" s="40">
        <v>6.9000000000000006E-2</v>
      </c>
      <c r="Q7" s="40">
        <v>6.9000000000000006E-2</v>
      </c>
      <c r="R7" s="16">
        <f t="shared" si="1"/>
        <v>-743.76666666666665</v>
      </c>
      <c r="S7" s="16">
        <f t="shared" si="2"/>
        <v>-323376.81159420288</v>
      </c>
      <c r="T7" s="45">
        <f t="shared" si="3"/>
        <v>-7.4237100916942813</v>
      </c>
      <c r="U7" s="40">
        <v>30</v>
      </c>
      <c r="V7" s="6" t="s">
        <v>55</v>
      </c>
      <c r="X7" t="s">
        <v>56</v>
      </c>
      <c r="Z7" s="7" t="s">
        <v>57</v>
      </c>
      <c r="AA7" t="s">
        <v>58</v>
      </c>
    </row>
    <row r="8" spans="1:45" x14ac:dyDescent="0.25">
      <c r="A8" t="s">
        <v>172</v>
      </c>
      <c r="B8" t="s">
        <v>173</v>
      </c>
      <c r="C8" s="26">
        <v>44587</v>
      </c>
      <c r="D8" s="16">
        <v>46000</v>
      </c>
      <c r="E8" t="s">
        <v>85</v>
      </c>
      <c r="F8" t="s">
        <v>135</v>
      </c>
      <c r="G8" s="16">
        <v>46000</v>
      </c>
      <c r="H8" s="16">
        <v>23900</v>
      </c>
      <c r="I8" s="21">
        <f t="shared" si="0"/>
        <v>51.956521739130437</v>
      </c>
      <c r="J8" s="16">
        <v>76339</v>
      </c>
      <c r="K8" s="16">
        <f>G8-71510</f>
        <v>-25510</v>
      </c>
      <c r="L8" s="16">
        <v>4829</v>
      </c>
      <c r="M8" s="50">
        <f t="shared" si="4"/>
        <v>0.10497826086956522</v>
      </c>
      <c r="N8" s="31">
        <v>37.148350999999998</v>
      </c>
      <c r="O8" s="35">
        <v>100</v>
      </c>
      <c r="P8" s="40">
        <v>0.106</v>
      </c>
      <c r="Q8" s="40">
        <v>0.106</v>
      </c>
      <c r="R8" s="16">
        <f t="shared" si="1"/>
        <v>-686.70612054893104</v>
      </c>
      <c r="S8" s="16">
        <f t="shared" si="2"/>
        <v>-240660.37735849057</v>
      </c>
      <c r="T8" s="45">
        <f t="shared" si="3"/>
        <v>-5.5248020513886722</v>
      </c>
      <c r="U8" s="40">
        <v>46</v>
      </c>
      <c r="V8" s="6" t="s">
        <v>55</v>
      </c>
      <c r="X8" t="s">
        <v>56</v>
      </c>
      <c r="Z8" s="7" t="s">
        <v>57</v>
      </c>
      <c r="AA8" t="s">
        <v>58</v>
      </c>
    </row>
    <row r="9" spans="1:45" x14ac:dyDescent="0.25">
      <c r="A9" t="s">
        <v>178</v>
      </c>
      <c r="B9" t="s">
        <v>179</v>
      </c>
      <c r="C9" s="26">
        <v>44414</v>
      </c>
      <c r="D9" s="16">
        <v>32000</v>
      </c>
      <c r="E9" t="s">
        <v>61</v>
      </c>
      <c r="F9" t="s">
        <v>47</v>
      </c>
      <c r="G9" s="16">
        <v>32000</v>
      </c>
      <c r="H9" s="16">
        <v>16800</v>
      </c>
      <c r="I9" s="21">
        <f t="shared" si="0"/>
        <v>52.5</v>
      </c>
      <c r="J9" s="16">
        <v>56057</v>
      </c>
      <c r="K9" s="16">
        <f>G9-51967</f>
        <v>-19967</v>
      </c>
      <c r="L9" s="16">
        <v>4090</v>
      </c>
      <c r="M9" s="50">
        <f t="shared" si="4"/>
        <v>0.1278125</v>
      </c>
      <c r="N9" s="31">
        <v>31.464265000000001</v>
      </c>
      <c r="O9" s="35">
        <v>110</v>
      </c>
      <c r="P9" s="40">
        <v>7.5999999999999998E-2</v>
      </c>
      <c r="Q9" s="40">
        <v>7.5999999999999998E-2</v>
      </c>
      <c r="R9" s="16">
        <f t="shared" si="1"/>
        <v>-634.59292629273239</v>
      </c>
      <c r="S9" s="16">
        <f t="shared" si="2"/>
        <v>-262723.68421052635</v>
      </c>
      <c r="T9" s="45">
        <f t="shared" si="3"/>
        <v>-6.0313058817843519</v>
      </c>
      <c r="U9" s="40">
        <v>30</v>
      </c>
      <c r="V9" s="6" t="s">
        <v>55</v>
      </c>
      <c r="X9" t="s">
        <v>56</v>
      </c>
      <c r="Z9" s="7" t="s">
        <v>57</v>
      </c>
      <c r="AA9" t="s">
        <v>58</v>
      </c>
    </row>
    <row r="10" spans="1:45" x14ac:dyDescent="0.25">
      <c r="A10" t="s">
        <v>151</v>
      </c>
      <c r="B10" t="s">
        <v>152</v>
      </c>
      <c r="C10" s="26">
        <v>45016</v>
      </c>
      <c r="D10" s="16">
        <v>57000</v>
      </c>
      <c r="E10" t="s">
        <v>61</v>
      </c>
      <c r="F10" t="s">
        <v>47</v>
      </c>
      <c r="G10" s="16">
        <v>57000</v>
      </c>
      <c r="H10" s="16">
        <v>29200</v>
      </c>
      <c r="I10" s="21">
        <f t="shared" si="0"/>
        <v>51.228070175438603</v>
      </c>
      <c r="J10" s="16">
        <v>79379</v>
      </c>
      <c r="K10" s="16">
        <f>G10-75479</f>
        <v>-18479</v>
      </c>
      <c r="L10" s="16">
        <v>3900</v>
      </c>
      <c r="M10" s="50">
        <f t="shared" si="4"/>
        <v>6.8421052631578952E-2</v>
      </c>
      <c r="N10" s="31">
        <v>30</v>
      </c>
      <c r="O10" s="35">
        <v>100</v>
      </c>
      <c r="P10" s="40">
        <v>6.9000000000000006E-2</v>
      </c>
      <c r="Q10" s="40">
        <v>6.9000000000000006E-2</v>
      </c>
      <c r="R10" s="16">
        <f t="shared" si="1"/>
        <v>-615.9666666666667</v>
      </c>
      <c r="S10" s="16">
        <f t="shared" si="2"/>
        <v>-267811.5942028985</v>
      </c>
      <c r="T10" s="45">
        <f t="shared" si="3"/>
        <v>-6.1481082232070365</v>
      </c>
      <c r="U10" s="40">
        <v>30</v>
      </c>
      <c r="V10" s="6" t="s">
        <v>55</v>
      </c>
      <c r="X10" t="s">
        <v>56</v>
      </c>
      <c r="Z10" s="7" t="s">
        <v>57</v>
      </c>
      <c r="AA10" t="s">
        <v>58</v>
      </c>
    </row>
    <row r="11" spans="1:45" x14ac:dyDescent="0.25">
      <c r="A11" t="s">
        <v>138</v>
      </c>
      <c r="B11" t="s">
        <v>139</v>
      </c>
      <c r="C11" s="26">
        <v>44743</v>
      </c>
      <c r="D11" s="16">
        <v>75000</v>
      </c>
      <c r="E11" t="s">
        <v>46</v>
      </c>
      <c r="F11" t="s">
        <v>47</v>
      </c>
      <c r="G11" s="16">
        <v>75000</v>
      </c>
      <c r="H11" s="16">
        <v>38300</v>
      </c>
      <c r="I11" s="21">
        <f t="shared" si="0"/>
        <v>51.06666666666667</v>
      </c>
      <c r="J11" s="16">
        <v>105745</v>
      </c>
      <c r="K11" s="16">
        <f>G11-100230</f>
        <v>-25230</v>
      </c>
      <c r="L11" s="16">
        <v>5515</v>
      </c>
      <c r="M11" s="50">
        <f t="shared" si="4"/>
        <v>7.3533333333333339E-2</v>
      </c>
      <c r="N11" s="31">
        <v>42.426406999999998</v>
      </c>
      <c r="O11" s="35">
        <v>100</v>
      </c>
      <c r="P11" s="40">
        <v>0.13800000000000001</v>
      </c>
      <c r="Q11" s="40">
        <v>0.13800000000000001</v>
      </c>
      <c r="R11" s="16">
        <f t="shared" si="1"/>
        <v>-594.6768011724397</v>
      </c>
      <c r="S11" s="16">
        <f t="shared" si="2"/>
        <v>-182826.08695652173</v>
      </c>
      <c r="T11" s="45">
        <f t="shared" si="3"/>
        <v>-4.1971094342635844</v>
      </c>
      <c r="U11" s="40">
        <v>60</v>
      </c>
      <c r="V11" s="6" t="s">
        <v>55</v>
      </c>
      <c r="X11" t="s">
        <v>56</v>
      </c>
      <c r="Z11" s="7" t="s">
        <v>57</v>
      </c>
      <c r="AA11" t="s">
        <v>58</v>
      </c>
    </row>
    <row r="12" spans="1:45" x14ac:dyDescent="0.25">
      <c r="A12" t="s">
        <v>166</v>
      </c>
      <c r="B12" t="s">
        <v>167</v>
      </c>
      <c r="C12" s="26">
        <v>44405</v>
      </c>
      <c r="D12" s="16">
        <v>32000</v>
      </c>
      <c r="E12" t="s">
        <v>46</v>
      </c>
      <c r="F12" t="s">
        <v>47</v>
      </c>
      <c r="G12" s="16">
        <v>32000</v>
      </c>
      <c r="H12" s="16">
        <v>17300</v>
      </c>
      <c r="I12" s="21">
        <f t="shared" si="0"/>
        <v>54.0625</v>
      </c>
      <c r="J12" s="16">
        <v>55173</v>
      </c>
      <c r="K12" s="16">
        <f>G12-50558</f>
        <v>-18558</v>
      </c>
      <c r="L12" s="16">
        <v>4615</v>
      </c>
      <c r="M12" s="50">
        <f t="shared" si="4"/>
        <v>0.14421875000000001</v>
      </c>
      <c r="N12" s="31">
        <v>35.496479000000001</v>
      </c>
      <c r="O12" s="35">
        <v>100</v>
      </c>
      <c r="P12" s="40">
        <v>9.6000000000000002E-2</v>
      </c>
      <c r="Q12" s="40">
        <v>9.6000000000000002E-2</v>
      </c>
      <c r="R12" s="16">
        <f t="shared" si="1"/>
        <v>-522.81241753583504</v>
      </c>
      <c r="S12" s="16">
        <f t="shared" si="2"/>
        <v>-193312.5</v>
      </c>
      <c r="T12" s="45">
        <f t="shared" si="3"/>
        <v>-4.4378443526170797</v>
      </c>
      <c r="U12" s="40">
        <v>42</v>
      </c>
      <c r="V12" s="6" t="s">
        <v>55</v>
      </c>
      <c r="X12" t="s">
        <v>56</v>
      </c>
      <c r="Z12" s="7" t="s">
        <v>57</v>
      </c>
      <c r="AA12" t="s">
        <v>58</v>
      </c>
    </row>
    <row r="13" spans="1:45" x14ac:dyDescent="0.25">
      <c r="A13" t="s">
        <v>126</v>
      </c>
      <c r="B13" t="s">
        <v>127</v>
      </c>
      <c r="C13" s="26">
        <v>44532</v>
      </c>
      <c r="D13" s="16">
        <v>50000</v>
      </c>
      <c r="E13" t="s">
        <v>61</v>
      </c>
      <c r="F13" t="s">
        <v>47</v>
      </c>
      <c r="G13" s="16">
        <v>50000</v>
      </c>
      <c r="H13" s="16">
        <v>25700</v>
      </c>
      <c r="I13" s="21">
        <f t="shared" si="0"/>
        <v>51.4</v>
      </c>
      <c r="J13" s="16">
        <v>85697</v>
      </c>
      <c r="K13" s="16">
        <f>G13-78008</f>
        <v>-28008</v>
      </c>
      <c r="L13" s="16">
        <v>7689</v>
      </c>
      <c r="M13" s="50">
        <f t="shared" si="4"/>
        <v>0.15378</v>
      </c>
      <c r="N13" s="31">
        <v>59.143892000000001</v>
      </c>
      <c r="O13" s="35">
        <v>110</v>
      </c>
      <c r="P13" s="40">
        <v>0.26800000000000002</v>
      </c>
      <c r="Q13" s="40">
        <v>0.26800000000000002</v>
      </c>
      <c r="R13" s="16">
        <f t="shared" si="1"/>
        <v>-473.55693128886412</v>
      </c>
      <c r="S13" s="16">
        <f t="shared" si="2"/>
        <v>-104507.46268656716</v>
      </c>
      <c r="T13" s="45">
        <f t="shared" si="3"/>
        <v>-2.3991612186998887</v>
      </c>
      <c r="U13" s="40">
        <v>106</v>
      </c>
      <c r="V13" s="6" t="s">
        <v>55</v>
      </c>
      <c r="X13" t="s">
        <v>56</v>
      </c>
      <c r="Z13" s="7" t="s">
        <v>57</v>
      </c>
      <c r="AA13" t="s">
        <v>58</v>
      </c>
    </row>
    <row r="14" spans="1:45" x14ac:dyDescent="0.25">
      <c r="A14" t="s">
        <v>247</v>
      </c>
      <c r="B14" t="s">
        <v>248</v>
      </c>
      <c r="C14" s="26">
        <v>44396</v>
      </c>
      <c r="D14" s="16">
        <v>19000</v>
      </c>
      <c r="E14" t="s">
        <v>61</v>
      </c>
      <c r="F14" t="s">
        <v>47</v>
      </c>
      <c r="G14" s="16">
        <v>19000</v>
      </c>
      <c r="H14" s="16">
        <v>11200</v>
      </c>
      <c r="I14" s="21">
        <f t="shared" si="0"/>
        <v>58.947368421052623</v>
      </c>
      <c r="J14" s="16">
        <v>35371</v>
      </c>
      <c r="K14" s="16">
        <f>G14-31471</f>
        <v>-12471</v>
      </c>
      <c r="L14" s="16">
        <v>3900</v>
      </c>
      <c r="M14" s="50">
        <f t="shared" si="4"/>
        <v>0.20526315789473684</v>
      </c>
      <c r="N14" s="31">
        <v>30</v>
      </c>
      <c r="O14" s="35">
        <v>100</v>
      </c>
      <c r="P14" s="40">
        <v>6.9000000000000006E-2</v>
      </c>
      <c r="Q14" s="40">
        <v>6.9000000000000006E-2</v>
      </c>
      <c r="R14" s="16">
        <f t="shared" si="1"/>
        <v>-415.7</v>
      </c>
      <c r="S14" s="16">
        <f t="shared" si="2"/>
        <v>-180739.13043478259</v>
      </c>
      <c r="T14" s="45">
        <f t="shared" si="3"/>
        <v>-4.1491995049307295</v>
      </c>
      <c r="U14" s="40">
        <v>30</v>
      </c>
      <c r="V14" s="6" t="s">
        <v>55</v>
      </c>
      <c r="X14" t="s">
        <v>56</v>
      </c>
      <c r="Z14" s="7" t="s">
        <v>57</v>
      </c>
      <c r="AA14" t="s">
        <v>58</v>
      </c>
    </row>
    <row r="15" spans="1:45" x14ac:dyDescent="0.25">
      <c r="A15" t="s">
        <v>59</v>
      </c>
      <c r="B15" t="s">
        <v>60</v>
      </c>
      <c r="C15" s="26">
        <v>44512</v>
      </c>
      <c r="D15" s="16">
        <v>45000</v>
      </c>
      <c r="E15" t="s">
        <v>61</v>
      </c>
      <c r="F15" t="s">
        <v>47</v>
      </c>
      <c r="G15" s="16">
        <v>45000</v>
      </c>
      <c r="H15" s="16">
        <v>19200</v>
      </c>
      <c r="I15" s="21">
        <f t="shared" si="0"/>
        <v>42.666666666666671</v>
      </c>
      <c r="J15" s="16">
        <v>61153</v>
      </c>
      <c r="K15" s="16">
        <f>G15-57180</f>
        <v>-12180</v>
      </c>
      <c r="L15" s="16">
        <v>3973</v>
      </c>
      <c r="M15" s="50">
        <f t="shared" si="4"/>
        <v>8.8288888888888889E-2</v>
      </c>
      <c r="N15" s="31">
        <v>30.563213000000001</v>
      </c>
      <c r="O15" s="35">
        <v>103.790001</v>
      </c>
      <c r="P15" s="40">
        <v>7.0999999999999994E-2</v>
      </c>
      <c r="Q15" s="40">
        <v>7.0999999999999994E-2</v>
      </c>
      <c r="R15" s="16">
        <f t="shared" si="1"/>
        <v>-398.51831023132286</v>
      </c>
      <c r="S15" s="16">
        <f t="shared" si="2"/>
        <v>-171549.29577464791</v>
      </c>
      <c r="T15" s="45">
        <f t="shared" si="3"/>
        <v>-3.9382299305474726</v>
      </c>
      <c r="U15" s="40">
        <v>30</v>
      </c>
      <c r="V15" s="6" t="s">
        <v>55</v>
      </c>
      <c r="X15" t="s">
        <v>56</v>
      </c>
      <c r="Z15" s="7" t="s">
        <v>57</v>
      </c>
      <c r="AA15" t="s">
        <v>58</v>
      </c>
    </row>
    <row r="16" spans="1:45" x14ac:dyDescent="0.25">
      <c r="A16" t="s">
        <v>300</v>
      </c>
      <c r="B16" t="s">
        <v>301</v>
      </c>
      <c r="C16" s="26">
        <v>44538</v>
      </c>
      <c r="D16" s="16">
        <v>22000</v>
      </c>
      <c r="E16" t="s">
        <v>46</v>
      </c>
      <c r="F16" t="s">
        <v>47</v>
      </c>
      <c r="G16" s="16">
        <v>22000</v>
      </c>
      <c r="H16" s="16">
        <v>10700</v>
      </c>
      <c r="I16" s="21">
        <f t="shared" si="0"/>
        <v>48.63636363636364</v>
      </c>
      <c r="J16" s="16">
        <v>35369</v>
      </c>
      <c r="K16" s="16">
        <f>G16-31469</f>
        <v>-9469</v>
      </c>
      <c r="L16" s="16">
        <v>3900</v>
      </c>
      <c r="M16" s="50">
        <f t="shared" si="4"/>
        <v>0.17727272727272728</v>
      </c>
      <c r="N16" s="31">
        <v>30</v>
      </c>
      <c r="O16" s="35">
        <v>100</v>
      </c>
      <c r="P16" s="40">
        <v>6.9000000000000006E-2</v>
      </c>
      <c r="Q16" s="40">
        <v>6.9000000000000006E-2</v>
      </c>
      <c r="R16" s="16">
        <f t="shared" si="1"/>
        <v>-315.63333333333333</v>
      </c>
      <c r="S16" s="16">
        <f t="shared" si="2"/>
        <v>-137231.88405797101</v>
      </c>
      <c r="T16" s="45">
        <f t="shared" si="3"/>
        <v>-3.1504105614777549</v>
      </c>
      <c r="U16" s="40">
        <v>30</v>
      </c>
      <c r="V16" s="6" t="s">
        <v>55</v>
      </c>
      <c r="X16" t="s">
        <v>56</v>
      </c>
      <c r="Z16" s="7" t="s">
        <v>57</v>
      </c>
      <c r="AA16" t="s">
        <v>58</v>
      </c>
    </row>
    <row r="17" spans="1:27" x14ac:dyDescent="0.25">
      <c r="A17" t="s">
        <v>184</v>
      </c>
      <c r="B17" t="s">
        <v>185</v>
      </c>
      <c r="C17" s="26">
        <v>44973</v>
      </c>
      <c r="D17" s="16">
        <v>35000</v>
      </c>
      <c r="E17" t="s">
        <v>46</v>
      </c>
      <c r="F17" t="s">
        <v>47</v>
      </c>
      <c r="G17" s="16">
        <v>35000</v>
      </c>
      <c r="H17" s="16">
        <v>18200</v>
      </c>
      <c r="I17" s="21">
        <f t="shared" si="0"/>
        <v>52</v>
      </c>
      <c r="J17" s="16">
        <v>48892</v>
      </c>
      <c r="K17" s="16">
        <f>G17-44802</f>
        <v>-9802</v>
      </c>
      <c r="L17" s="16">
        <v>4090</v>
      </c>
      <c r="M17" s="50">
        <f t="shared" si="4"/>
        <v>0.11685714285714285</v>
      </c>
      <c r="N17" s="31">
        <v>31.464265000000001</v>
      </c>
      <c r="O17" s="35">
        <v>110</v>
      </c>
      <c r="P17" s="40">
        <v>7.5999999999999998E-2</v>
      </c>
      <c r="Q17" s="40">
        <v>7.5999999999999998E-2</v>
      </c>
      <c r="R17" s="16">
        <f t="shared" si="1"/>
        <v>-311.52801439982784</v>
      </c>
      <c r="S17" s="16">
        <f t="shared" si="2"/>
        <v>-128973.68421052632</v>
      </c>
      <c r="T17" s="45">
        <f t="shared" si="3"/>
        <v>-2.9608283794886665</v>
      </c>
      <c r="U17" s="40">
        <v>30</v>
      </c>
      <c r="V17" s="6" t="s">
        <v>55</v>
      </c>
      <c r="X17" t="s">
        <v>56</v>
      </c>
      <c r="Z17" s="7" t="s">
        <v>57</v>
      </c>
      <c r="AA17" t="s">
        <v>58</v>
      </c>
    </row>
    <row r="18" spans="1:27" x14ac:dyDescent="0.25">
      <c r="A18" t="s">
        <v>153</v>
      </c>
      <c r="B18" t="s">
        <v>154</v>
      </c>
      <c r="C18" s="26">
        <v>44596</v>
      </c>
      <c r="D18" s="16">
        <v>32000</v>
      </c>
      <c r="E18" t="s">
        <v>46</v>
      </c>
      <c r="F18" t="s">
        <v>47</v>
      </c>
      <c r="G18" s="16">
        <v>32000</v>
      </c>
      <c r="H18" s="16">
        <v>14300</v>
      </c>
      <c r="I18" s="21">
        <f t="shared" si="0"/>
        <v>44.6875</v>
      </c>
      <c r="J18" s="16">
        <v>45002</v>
      </c>
      <c r="K18" s="16">
        <f>G18-41102</f>
        <v>-9102</v>
      </c>
      <c r="L18" s="16">
        <v>3900</v>
      </c>
      <c r="M18" s="50">
        <f t="shared" si="4"/>
        <v>0.121875</v>
      </c>
      <c r="N18" s="31">
        <v>30</v>
      </c>
      <c r="O18" s="35">
        <v>100</v>
      </c>
      <c r="P18" s="40">
        <v>6.9000000000000006E-2</v>
      </c>
      <c r="Q18" s="40">
        <v>6.9000000000000006E-2</v>
      </c>
      <c r="R18" s="16">
        <f t="shared" si="1"/>
        <v>-303.39999999999998</v>
      </c>
      <c r="S18" s="16">
        <f t="shared" si="2"/>
        <v>-131913.04347826086</v>
      </c>
      <c r="T18" s="45">
        <f t="shared" si="3"/>
        <v>-3.0283067832474946</v>
      </c>
      <c r="U18" s="40">
        <v>30</v>
      </c>
      <c r="V18" s="6" t="s">
        <v>55</v>
      </c>
      <c r="X18" t="s">
        <v>56</v>
      </c>
      <c r="Z18" s="7" t="s">
        <v>57</v>
      </c>
      <c r="AA18" t="s">
        <v>58</v>
      </c>
    </row>
    <row r="19" spans="1:27" x14ac:dyDescent="0.25">
      <c r="A19" t="s">
        <v>260</v>
      </c>
      <c r="B19" t="s">
        <v>261</v>
      </c>
      <c r="C19" s="26">
        <v>45008</v>
      </c>
      <c r="D19" s="16">
        <v>27900</v>
      </c>
      <c r="E19" t="s">
        <v>262</v>
      </c>
      <c r="F19" t="s">
        <v>263</v>
      </c>
      <c r="G19" s="16">
        <v>27900</v>
      </c>
      <c r="H19" s="16">
        <v>16000</v>
      </c>
      <c r="I19" s="21">
        <f t="shared" si="0"/>
        <v>57.347670250896051</v>
      </c>
      <c r="J19" s="16">
        <v>43008</v>
      </c>
      <c r="K19" s="16">
        <f>G19-38440</f>
        <v>-10540</v>
      </c>
      <c r="L19" s="16">
        <v>4568</v>
      </c>
      <c r="M19" s="50">
        <f t="shared" si="4"/>
        <v>0.16372759856630825</v>
      </c>
      <c r="N19" s="31">
        <v>35.135452000000001</v>
      </c>
      <c r="O19" s="35">
        <v>82.300003000000004</v>
      </c>
      <c r="P19" s="40">
        <v>9.4E-2</v>
      </c>
      <c r="Q19" s="40">
        <v>9.4E-2</v>
      </c>
      <c r="R19" s="16">
        <f t="shared" si="1"/>
        <v>-299.98191000929774</v>
      </c>
      <c r="S19" s="16">
        <f t="shared" si="2"/>
        <v>-112127.65957446808</v>
      </c>
      <c r="T19" s="45">
        <f t="shared" si="3"/>
        <v>-2.5740968681007366</v>
      </c>
      <c r="U19" s="40">
        <v>50</v>
      </c>
      <c r="V19" s="6" t="s">
        <v>55</v>
      </c>
      <c r="X19" t="s">
        <v>56</v>
      </c>
      <c r="Z19" s="7" t="s">
        <v>57</v>
      </c>
      <c r="AA19" t="s">
        <v>58</v>
      </c>
    </row>
    <row r="20" spans="1:27" x14ac:dyDescent="0.25">
      <c r="A20" t="s">
        <v>338</v>
      </c>
      <c r="B20" t="s">
        <v>339</v>
      </c>
      <c r="C20" s="26">
        <v>44470</v>
      </c>
      <c r="D20" s="16">
        <v>35000</v>
      </c>
      <c r="E20" t="s">
        <v>46</v>
      </c>
      <c r="F20" t="s">
        <v>47</v>
      </c>
      <c r="G20" s="16">
        <v>35000</v>
      </c>
      <c r="H20" s="16">
        <v>14400</v>
      </c>
      <c r="I20" s="21">
        <f t="shared" si="0"/>
        <v>41.142857142857139</v>
      </c>
      <c r="J20" s="16">
        <v>48324</v>
      </c>
      <c r="K20" s="16">
        <f>G20-44234</f>
        <v>-9234</v>
      </c>
      <c r="L20" s="16">
        <v>4090</v>
      </c>
      <c r="M20" s="50">
        <f t="shared" si="4"/>
        <v>0.11685714285714285</v>
      </c>
      <c r="N20" s="31">
        <v>31.464265000000001</v>
      </c>
      <c r="O20" s="35">
        <v>110</v>
      </c>
      <c r="P20" s="40">
        <v>7.5999999999999998E-2</v>
      </c>
      <c r="Q20" s="40">
        <v>7.5999999999999998E-2</v>
      </c>
      <c r="R20" s="16">
        <f t="shared" si="1"/>
        <v>-293.47578912140489</v>
      </c>
      <c r="S20" s="16">
        <f t="shared" si="2"/>
        <v>-121500</v>
      </c>
      <c r="T20" s="45">
        <f t="shared" si="3"/>
        <v>-2.7892561983471076</v>
      </c>
      <c r="U20" s="40">
        <v>30</v>
      </c>
      <c r="V20" s="6" t="s">
        <v>55</v>
      </c>
      <c r="X20" t="s">
        <v>56</v>
      </c>
      <c r="Z20" s="7" t="s">
        <v>57</v>
      </c>
      <c r="AA20" t="s">
        <v>58</v>
      </c>
    </row>
    <row r="21" spans="1:27" x14ac:dyDescent="0.25">
      <c r="A21" t="s">
        <v>182</v>
      </c>
      <c r="B21" t="s">
        <v>183</v>
      </c>
      <c r="C21" s="26">
        <v>44820</v>
      </c>
      <c r="D21" s="16">
        <v>44900</v>
      </c>
      <c r="E21" t="s">
        <v>61</v>
      </c>
      <c r="F21" t="s">
        <v>47</v>
      </c>
      <c r="G21" s="16">
        <v>44900</v>
      </c>
      <c r="H21" s="16">
        <v>21400</v>
      </c>
      <c r="I21" s="21">
        <f t="shared" si="0"/>
        <v>47.661469933184861</v>
      </c>
      <c r="J21" s="16">
        <v>58219</v>
      </c>
      <c r="K21" s="16">
        <f>G21-54129</f>
        <v>-9229</v>
      </c>
      <c r="L21" s="16">
        <v>4090</v>
      </c>
      <c r="M21" s="50">
        <f t="shared" si="4"/>
        <v>9.1091314031180398E-2</v>
      </c>
      <c r="N21" s="31">
        <v>31.464265000000001</v>
      </c>
      <c r="O21" s="35">
        <v>110</v>
      </c>
      <c r="P21" s="40">
        <v>7.5999999999999998E-2</v>
      </c>
      <c r="Q21" s="40">
        <v>7.5999999999999998E-2</v>
      </c>
      <c r="R21" s="16">
        <f t="shared" si="1"/>
        <v>-293.31687868761594</v>
      </c>
      <c r="S21" s="16">
        <f t="shared" si="2"/>
        <v>-121434.21052631579</v>
      </c>
      <c r="T21" s="45">
        <f t="shared" si="3"/>
        <v>-2.7877458798511427</v>
      </c>
      <c r="U21" s="40">
        <v>30</v>
      </c>
      <c r="V21" s="6" t="s">
        <v>55</v>
      </c>
      <c r="X21" t="s">
        <v>56</v>
      </c>
      <c r="Z21" s="7" t="s">
        <v>57</v>
      </c>
      <c r="AA21" t="s">
        <v>58</v>
      </c>
    </row>
    <row r="22" spans="1:27" x14ac:dyDescent="0.25">
      <c r="A22" t="s">
        <v>128</v>
      </c>
      <c r="B22" t="s">
        <v>129</v>
      </c>
      <c r="C22" s="26">
        <v>44776</v>
      </c>
      <c r="D22" s="16">
        <v>26000</v>
      </c>
      <c r="E22" t="s">
        <v>46</v>
      </c>
      <c r="F22" t="s">
        <v>47</v>
      </c>
      <c r="G22" s="16">
        <v>26000</v>
      </c>
      <c r="H22" s="16">
        <v>13900</v>
      </c>
      <c r="I22" s="21">
        <f t="shared" si="0"/>
        <v>53.46153846153846</v>
      </c>
      <c r="J22" s="16">
        <v>38617</v>
      </c>
      <c r="K22" s="16">
        <f>G22-34717</f>
        <v>-8717</v>
      </c>
      <c r="L22" s="16">
        <v>3900</v>
      </c>
      <c r="M22" s="50">
        <f t="shared" si="4"/>
        <v>0.15</v>
      </c>
      <c r="N22" s="31">
        <v>30</v>
      </c>
      <c r="O22" s="35">
        <v>100</v>
      </c>
      <c r="P22" s="40">
        <v>6.9000000000000006E-2</v>
      </c>
      <c r="Q22" s="40">
        <v>6.9000000000000006E-2</v>
      </c>
      <c r="R22" s="16">
        <f t="shared" si="1"/>
        <v>-290.56666666666666</v>
      </c>
      <c r="S22" s="16">
        <f t="shared" si="2"/>
        <v>-126333.33333333333</v>
      </c>
      <c r="T22" s="45">
        <f t="shared" si="3"/>
        <v>-2.9002142638506272</v>
      </c>
      <c r="U22" s="40">
        <v>30</v>
      </c>
      <c r="V22" s="6" t="s">
        <v>55</v>
      </c>
      <c r="X22" t="s">
        <v>56</v>
      </c>
      <c r="Z22" s="7" t="s">
        <v>57</v>
      </c>
      <c r="AA22" t="s">
        <v>58</v>
      </c>
    </row>
    <row r="23" spans="1:27" x14ac:dyDescent="0.25">
      <c r="A23" t="s">
        <v>215</v>
      </c>
      <c r="B23" t="s">
        <v>216</v>
      </c>
      <c r="C23" s="26">
        <v>44314</v>
      </c>
      <c r="D23" s="16">
        <v>50500</v>
      </c>
      <c r="E23" t="s">
        <v>61</v>
      </c>
      <c r="F23" t="s">
        <v>47</v>
      </c>
      <c r="G23" s="16">
        <v>50500</v>
      </c>
      <c r="H23" s="16">
        <v>19400</v>
      </c>
      <c r="I23" s="21">
        <f t="shared" si="0"/>
        <v>38.415841584158414</v>
      </c>
      <c r="J23" s="16">
        <v>62091</v>
      </c>
      <c r="K23" s="16">
        <f>G23-57879</f>
        <v>-7379</v>
      </c>
      <c r="L23" s="16">
        <v>4212</v>
      </c>
      <c r="M23" s="50">
        <f t="shared" si="4"/>
        <v>8.3405940594059411E-2</v>
      </c>
      <c r="N23" s="31">
        <v>32.403703</v>
      </c>
      <c r="O23" s="35">
        <v>100</v>
      </c>
      <c r="P23" s="40">
        <v>0.08</v>
      </c>
      <c r="Q23" s="40">
        <v>0.08</v>
      </c>
      <c r="R23" s="16">
        <f t="shared" si="1"/>
        <v>-227.72088733192007</v>
      </c>
      <c r="S23" s="16">
        <f t="shared" si="2"/>
        <v>-92237.5</v>
      </c>
      <c r="T23" s="45">
        <f t="shared" si="3"/>
        <v>-2.1174816345270893</v>
      </c>
      <c r="U23" s="40">
        <v>35</v>
      </c>
      <c r="V23" s="6" t="s">
        <v>55</v>
      </c>
      <c r="X23" t="s">
        <v>56</v>
      </c>
      <c r="Z23" s="7" t="s">
        <v>57</v>
      </c>
      <c r="AA23" t="s">
        <v>58</v>
      </c>
    </row>
    <row r="24" spans="1:27" x14ac:dyDescent="0.25">
      <c r="A24" t="s">
        <v>142</v>
      </c>
      <c r="B24" t="s">
        <v>143</v>
      </c>
      <c r="C24" s="26">
        <v>44733</v>
      </c>
      <c r="D24" s="16">
        <v>43000</v>
      </c>
      <c r="E24" t="s">
        <v>46</v>
      </c>
      <c r="F24" t="s">
        <v>47</v>
      </c>
      <c r="G24" s="16">
        <v>43000</v>
      </c>
      <c r="H24" s="16">
        <v>19300</v>
      </c>
      <c r="I24" s="21">
        <f t="shared" si="0"/>
        <v>44.883720930232556</v>
      </c>
      <c r="J24" s="16">
        <v>53213</v>
      </c>
      <c r="K24" s="16">
        <f>G24-49313</f>
        <v>-6313</v>
      </c>
      <c r="L24" s="16">
        <v>3900</v>
      </c>
      <c r="M24" s="50">
        <f t="shared" si="4"/>
        <v>9.0697674418604657E-2</v>
      </c>
      <c r="N24" s="31">
        <v>30</v>
      </c>
      <c r="O24" s="35">
        <v>100</v>
      </c>
      <c r="P24" s="40">
        <v>6.9000000000000006E-2</v>
      </c>
      <c r="Q24" s="40">
        <v>6.9000000000000006E-2</v>
      </c>
      <c r="R24" s="16">
        <f t="shared" si="1"/>
        <v>-210.43333333333334</v>
      </c>
      <c r="S24" s="16">
        <f t="shared" si="2"/>
        <v>-91492.753623188401</v>
      </c>
      <c r="T24" s="45">
        <f t="shared" si="3"/>
        <v>-2.1003846102660333</v>
      </c>
      <c r="U24" s="40">
        <v>30</v>
      </c>
      <c r="V24" s="6" t="s">
        <v>55</v>
      </c>
      <c r="X24" t="s">
        <v>56</v>
      </c>
      <c r="Z24" s="7" t="s">
        <v>57</v>
      </c>
      <c r="AA24" t="s">
        <v>58</v>
      </c>
    </row>
    <row r="25" spans="1:27" x14ac:dyDescent="0.25">
      <c r="A25" t="s">
        <v>122</v>
      </c>
      <c r="B25" t="s">
        <v>123</v>
      </c>
      <c r="C25" s="26">
        <v>44431</v>
      </c>
      <c r="D25" s="16">
        <v>58000</v>
      </c>
      <c r="E25" t="s">
        <v>61</v>
      </c>
      <c r="F25" t="s">
        <v>47</v>
      </c>
      <c r="G25" s="16">
        <v>58000</v>
      </c>
      <c r="H25" s="16">
        <v>21200</v>
      </c>
      <c r="I25" s="21">
        <f t="shared" si="0"/>
        <v>36.551724137931032</v>
      </c>
      <c r="J25" s="16">
        <v>68102</v>
      </c>
      <c r="K25" s="16">
        <f>G25-63979</f>
        <v>-5979</v>
      </c>
      <c r="L25" s="16">
        <v>4123</v>
      </c>
      <c r="M25" s="50">
        <f t="shared" si="4"/>
        <v>7.1086206896551721E-2</v>
      </c>
      <c r="N25" s="31">
        <v>31.717931</v>
      </c>
      <c r="O25" s="35">
        <v>128.13999899999999</v>
      </c>
      <c r="P25" s="40">
        <v>7.6999999999999999E-2</v>
      </c>
      <c r="Q25" s="40">
        <v>7.6999999999999999E-2</v>
      </c>
      <c r="R25" s="16">
        <f t="shared" si="1"/>
        <v>-188.50535994923501</v>
      </c>
      <c r="S25" s="16">
        <f t="shared" si="2"/>
        <v>-77649.350649350657</v>
      </c>
      <c r="T25" s="45">
        <f t="shared" si="3"/>
        <v>-1.782583807377196</v>
      </c>
      <c r="U25" s="40">
        <v>26.17</v>
      </c>
      <c r="V25" s="6" t="s">
        <v>55</v>
      </c>
      <c r="X25" t="s">
        <v>56</v>
      </c>
      <c r="Z25" s="7" t="s">
        <v>57</v>
      </c>
      <c r="AA25" t="s">
        <v>58</v>
      </c>
    </row>
    <row r="26" spans="1:27" x14ac:dyDescent="0.25">
      <c r="A26" t="s">
        <v>93</v>
      </c>
      <c r="B26" t="s">
        <v>94</v>
      </c>
      <c r="C26" s="26">
        <v>44960</v>
      </c>
      <c r="D26" s="16">
        <v>19000</v>
      </c>
      <c r="E26" t="s">
        <v>46</v>
      </c>
      <c r="F26" t="s">
        <v>47</v>
      </c>
      <c r="G26" s="16">
        <v>19000</v>
      </c>
      <c r="H26" s="16">
        <v>10400</v>
      </c>
      <c r="I26" s="21">
        <f t="shared" si="0"/>
        <v>54.736842105263165</v>
      </c>
      <c r="J26" s="16">
        <v>28011</v>
      </c>
      <c r="K26" s="16">
        <f>G26-23921</f>
        <v>-4921</v>
      </c>
      <c r="L26" s="16">
        <v>4090</v>
      </c>
      <c r="M26" s="50">
        <f t="shared" si="4"/>
        <v>0.21526315789473685</v>
      </c>
      <c r="N26" s="31">
        <v>31.464265000000001</v>
      </c>
      <c r="O26" s="35">
        <v>110</v>
      </c>
      <c r="P26" s="40">
        <v>7.5999999999999998E-2</v>
      </c>
      <c r="Q26" s="40">
        <v>7.5999999999999998E-2</v>
      </c>
      <c r="R26" s="16">
        <f t="shared" si="1"/>
        <v>-156.39964893506968</v>
      </c>
      <c r="S26" s="16">
        <f t="shared" si="2"/>
        <v>-64750</v>
      </c>
      <c r="T26" s="45">
        <f t="shared" si="3"/>
        <v>-1.486455463728191</v>
      </c>
      <c r="U26" s="40">
        <v>30</v>
      </c>
      <c r="V26" s="6" t="s">
        <v>55</v>
      </c>
      <c r="X26" t="s">
        <v>56</v>
      </c>
      <c r="Z26" s="7" t="s">
        <v>57</v>
      </c>
      <c r="AA26" t="s">
        <v>58</v>
      </c>
    </row>
    <row r="27" spans="1:27" x14ac:dyDescent="0.25">
      <c r="A27" t="s">
        <v>124</v>
      </c>
      <c r="B27" t="s">
        <v>125</v>
      </c>
      <c r="C27" s="26">
        <v>44362</v>
      </c>
      <c r="D27" s="16">
        <v>41000</v>
      </c>
      <c r="E27" t="s">
        <v>46</v>
      </c>
      <c r="F27" t="s">
        <v>47</v>
      </c>
      <c r="G27" s="16">
        <v>41000</v>
      </c>
      <c r="H27" s="16">
        <v>15600</v>
      </c>
      <c r="I27" s="21">
        <f t="shared" si="0"/>
        <v>38.048780487804876</v>
      </c>
      <c r="J27" s="16">
        <v>49572</v>
      </c>
      <c r="K27" s="16">
        <f>G27-45672</f>
        <v>-4672</v>
      </c>
      <c r="L27" s="16">
        <v>3900</v>
      </c>
      <c r="M27" s="50">
        <f t="shared" si="4"/>
        <v>9.5121951219512196E-2</v>
      </c>
      <c r="N27" s="31">
        <v>30</v>
      </c>
      <c r="O27" s="35">
        <v>100</v>
      </c>
      <c r="P27" s="40">
        <v>6.9000000000000006E-2</v>
      </c>
      <c r="Q27" s="40">
        <v>6.9000000000000006E-2</v>
      </c>
      <c r="R27" s="16">
        <f t="shared" si="1"/>
        <v>-155.73333333333332</v>
      </c>
      <c r="S27" s="16">
        <f t="shared" si="2"/>
        <v>-67710.144927536225</v>
      </c>
      <c r="T27" s="45">
        <f t="shared" si="3"/>
        <v>-1.5544110405770484</v>
      </c>
      <c r="U27" s="40">
        <v>30</v>
      </c>
      <c r="V27" s="6" t="s">
        <v>55</v>
      </c>
      <c r="X27" t="s">
        <v>56</v>
      </c>
      <c r="Z27" s="7" t="s">
        <v>57</v>
      </c>
      <c r="AA27" t="s">
        <v>58</v>
      </c>
    </row>
    <row r="28" spans="1:27" x14ac:dyDescent="0.25">
      <c r="A28" t="s">
        <v>249</v>
      </c>
      <c r="B28" t="s">
        <v>250</v>
      </c>
      <c r="C28" s="26">
        <v>44741</v>
      </c>
      <c r="D28" s="16">
        <v>53000</v>
      </c>
      <c r="E28" t="s">
        <v>61</v>
      </c>
      <c r="F28" t="s">
        <v>251</v>
      </c>
      <c r="G28" s="16">
        <v>53000</v>
      </c>
      <c r="H28" s="16">
        <v>21600</v>
      </c>
      <c r="I28" s="21">
        <f t="shared" si="0"/>
        <v>40.754716981132077</v>
      </c>
      <c r="J28" s="16">
        <v>60803</v>
      </c>
      <c r="K28" s="16">
        <f>G28-56775</f>
        <v>-3775</v>
      </c>
      <c r="L28" s="16">
        <v>4028</v>
      </c>
      <c r="M28" s="50">
        <f t="shared" si="4"/>
        <v>7.5999999999999998E-2</v>
      </c>
      <c r="N28" s="31">
        <v>30.983867</v>
      </c>
      <c r="O28" s="35">
        <v>100</v>
      </c>
      <c r="P28" s="40">
        <v>7.2999999999999995E-2</v>
      </c>
      <c r="Q28" s="40">
        <v>7.2999999999999995E-2</v>
      </c>
      <c r="R28" s="16">
        <f t="shared" si="1"/>
        <v>-121.83760019367499</v>
      </c>
      <c r="S28" s="16">
        <f t="shared" si="2"/>
        <v>-51712.32876712329</v>
      </c>
      <c r="T28" s="45">
        <f t="shared" si="3"/>
        <v>-1.1871517164169718</v>
      </c>
      <c r="U28" s="40">
        <v>32</v>
      </c>
      <c r="V28" s="6" t="s">
        <v>55</v>
      </c>
      <c r="X28" t="s">
        <v>56</v>
      </c>
      <c r="Z28" s="7" t="s">
        <v>57</v>
      </c>
      <c r="AA28" t="s">
        <v>58</v>
      </c>
    </row>
    <row r="29" spans="1:27" x14ac:dyDescent="0.25">
      <c r="A29" t="s">
        <v>264</v>
      </c>
      <c r="B29" t="s">
        <v>265</v>
      </c>
      <c r="C29" s="26">
        <v>44350</v>
      </c>
      <c r="D29" s="16">
        <v>29900</v>
      </c>
      <c r="E29" t="s">
        <v>46</v>
      </c>
      <c r="F29" t="s">
        <v>47</v>
      </c>
      <c r="G29" s="16">
        <v>29900</v>
      </c>
      <c r="H29" s="16">
        <v>11300</v>
      </c>
      <c r="I29" s="21">
        <f t="shared" si="0"/>
        <v>37.792642140468232</v>
      </c>
      <c r="J29" s="16">
        <v>35605</v>
      </c>
      <c r="K29" s="16">
        <f>G29-32389</f>
        <v>-2489</v>
      </c>
      <c r="L29" s="16">
        <v>3216</v>
      </c>
      <c r="M29" s="50">
        <f t="shared" si="4"/>
        <v>0.10755852842809364</v>
      </c>
      <c r="N29" s="31">
        <v>24.74015</v>
      </c>
      <c r="O29" s="35">
        <v>81.610000999999997</v>
      </c>
      <c r="P29" s="40">
        <v>4.7E-2</v>
      </c>
      <c r="Q29" s="40">
        <v>4.7E-2</v>
      </c>
      <c r="R29" s="16">
        <f t="shared" si="1"/>
        <v>-100.60569560006709</v>
      </c>
      <c r="S29" s="16">
        <f t="shared" si="2"/>
        <v>-52957.446808510635</v>
      </c>
      <c r="T29" s="45">
        <f t="shared" si="3"/>
        <v>-1.2157356934919796</v>
      </c>
      <c r="U29" s="40">
        <v>25</v>
      </c>
      <c r="V29" s="6" t="s">
        <v>55</v>
      </c>
      <c r="X29" t="s">
        <v>56</v>
      </c>
      <c r="Z29" s="7" t="s">
        <v>57</v>
      </c>
      <c r="AA29" t="s">
        <v>58</v>
      </c>
    </row>
    <row r="30" spans="1:27" x14ac:dyDescent="0.25">
      <c r="A30" t="s">
        <v>296</v>
      </c>
      <c r="B30" t="s">
        <v>297</v>
      </c>
      <c r="C30" s="26">
        <v>44697</v>
      </c>
      <c r="D30" s="16">
        <v>85000</v>
      </c>
      <c r="E30" t="s">
        <v>46</v>
      </c>
      <c r="F30" t="s">
        <v>47</v>
      </c>
      <c r="G30" s="16">
        <v>85000</v>
      </c>
      <c r="H30" s="16">
        <v>34600</v>
      </c>
      <c r="I30" s="21">
        <f t="shared" si="0"/>
        <v>40.705882352941174</v>
      </c>
      <c r="J30" s="16">
        <v>95294</v>
      </c>
      <c r="K30" s="16">
        <f>G30-89128</f>
        <v>-4128</v>
      </c>
      <c r="L30" s="16">
        <v>6166</v>
      </c>
      <c r="M30" s="50">
        <f t="shared" si="4"/>
        <v>7.2541176470588234E-2</v>
      </c>
      <c r="N30" s="31">
        <v>47.434165</v>
      </c>
      <c r="O30" s="35">
        <v>100</v>
      </c>
      <c r="P30" s="40">
        <v>0.17199999999999999</v>
      </c>
      <c r="Q30" s="40">
        <v>0.17199999999999999</v>
      </c>
      <c r="R30" s="16">
        <f t="shared" si="1"/>
        <v>-87.025881029000928</v>
      </c>
      <c r="S30" s="16">
        <f t="shared" si="2"/>
        <v>-24000.000000000004</v>
      </c>
      <c r="T30" s="45">
        <f t="shared" si="3"/>
        <v>-0.55096418732782382</v>
      </c>
      <c r="U30" s="40">
        <v>75</v>
      </c>
      <c r="V30" s="6" t="s">
        <v>55</v>
      </c>
      <c r="X30" t="s">
        <v>56</v>
      </c>
      <c r="Z30" s="7" t="s">
        <v>57</v>
      </c>
      <c r="AA30" t="s">
        <v>58</v>
      </c>
    </row>
    <row r="31" spans="1:27" x14ac:dyDescent="0.25">
      <c r="A31" t="s">
        <v>76</v>
      </c>
      <c r="B31" t="s">
        <v>77</v>
      </c>
      <c r="C31" s="26">
        <v>44839</v>
      </c>
      <c r="D31" s="16">
        <v>47000</v>
      </c>
      <c r="E31" t="s">
        <v>61</v>
      </c>
      <c r="F31" t="s">
        <v>47</v>
      </c>
      <c r="G31" s="16">
        <v>47000</v>
      </c>
      <c r="H31" s="16">
        <v>19500</v>
      </c>
      <c r="I31" s="21">
        <f t="shared" si="0"/>
        <v>41.48936170212766</v>
      </c>
      <c r="J31" s="16">
        <v>53890</v>
      </c>
      <c r="K31" s="16">
        <f>G31-47618</f>
        <v>-618</v>
      </c>
      <c r="L31" s="16">
        <v>6272</v>
      </c>
      <c r="M31" s="50">
        <f t="shared" si="4"/>
        <v>0.13344680851063831</v>
      </c>
      <c r="N31" s="31">
        <v>48.248159000000001</v>
      </c>
      <c r="O31" s="35">
        <v>87.040001000000004</v>
      </c>
      <c r="P31" s="40">
        <v>0.17799999999999999</v>
      </c>
      <c r="Q31" s="40">
        <v>0.17799999999999999</v>
      </c>
      <c r="R31" s="16">
        <f t="shared" si="1"/>
        <v>-12.808778880039753</v>
      </c>
      <c r="S31" s="16">
        <f t="shared" si="2"/>
        <v>-3471.9101123595506</v>
      </c>
      <c r="T31" s="45">
        <f t="shared" si="3"/>
        <v>-7.9704088897143033E-2</v>
      </c>
      <c r="U31" s="40">
        <v>89.15</v>
      </c>
      <c r="V31" s="6" t="s">
        <v>55</v>
      </c>
      <c r="X31" t="s">
        <v>56</v>
      </c>
      <c r="Z31" s="7" t="s">
        <v>57</v>
      </c>
      <c r="AA31" t="s">
        <v>58</v>
      </c>
    </row>
    <row r="32" spans="1:27" x14ac:dyDescent="0.25">
      <c r="A32" t="s">
        <v>120</v>
      </c>
      <c r="B32" t="s">
        <v>121</v>
      </c>
      <c r="C32" s="26">
        <v>44414</v>
      </c>
      <c r="D32" s="16">
        <v>66000</v>
      </c>
      <c r="E32" t="s">
        <v>46</v>
      </c>
      <c r="F32" t="s">
        <v>47</v>
      </c>
      <c r="G32" s="16">
        <v>66000</v>
      </c>
      <c r="H32" s="16">
        <v>21100</v>
      </c>
      <c r="I32" s="21">
        <f t="shared" si="0"/>
        <v>31.969696969696969</v>
      </c>
      <c r="J32" s="16">
        <v>70392</v>
      </c>
      <c r="K32" s="16">
        <f>G32-66218</f>
        <v>-218</v>
      </c>
      <c r="L32" s="16">
        <v>4174</v>
      </c>
      <c r="M32" s="50">
        <f t="shared" si="4"/>
        <v>6.3242424242424239E-2</v>
      </c>
      <c r="N32" s="31">
        <v>32.108472999999996</v>
      </c>
      <c r="O32" s="35">
        <v>112.525002</v>
      </c>
      <c r="P32" s="40">
        <v>7.9000000000000001E-2</v>
      </c>
      <c r="Q32" s="40">
        <v>7.9000000000000001E-2</v>
      </c>
      <c r="R32" s="16">
        <f t="shared" si="1"/>
        <v>-6.7894851306071153</v>
      </c>
      <c r="S32" s="16">
        <f t="shared" si="2"/>
        <v>-2759.493670886076</v>
      </c>
      <c r="T32" s="45">
        <f t="shared" si="3"/>
        <v>-6.3349257825667499E-2</v>
      </c>
      <c r="U32" s="40">
        <v>30.54</v>
      </c>
      <c r="V32" s="6" t="s">
        <v>55</v>
      </c>
      <c r="X32" t="s">
        <v>56</v>
      </c>
      <c r="Z32" s="7" t="s">
        <v>57</v>
      </c>
      <c r="AA32" t="s">
        <v>58</v>
      </c>
    </row>
    <row r="33" spans="1:27" x14ac:dyDescent="0.25">
      <c r="A33" t="s">
        <v>144</v>
      </c>
      <c r="B33" t="s">
        <v>145</v>
      </c>
      <c r="C33" s="26">
        <v>44749</v>
      </c>
      <c r="D33" s="16">
        <v>50000</v>
      </c>
      <c r="E33" t="s">
        <v>85</v>
      </c>
      <c r="F33" t="s">
        <v>47</v>
      </c>
      <c r="G33" s="16">
        <v>50000</v>
      </c>
      <c r="H33" s="16">
        <v>21200</v>
      </c>
      <c r="I33" s="21">
        <f t="shared" si="0"/>
        <v>42.4</v>
      </c>
      <c r="J33" s="16">
        <v>56298</v>
      </c>
      <c r="K33" s="16">
        <f>G33-47903</f>
        <v>2097</v>
      </c>
      <c r="L33" s="16">
        <v>8395</v>
      </c>
      <c r="M33" s="50">
        <f t="shared" si="4"/>
        <v>0.16789999999999999</v>
      </c>
      <c r="N33" s="31">
        <v>64.575536999999997</v>
      </c>
      <c r="O33" s="35">
        <v>100</v>
      </c>
      <c r="P33" s="40">
        <v>0.31900000000000001</v>
      </c>
      <c r="Q33" s="40">
        <v>0.31900000000000001</v>
      </c>
      <c r="R33" s="16">
        <f t="shared" si="1"/>
        <v>32.47359754824803</v>
      </c>
      <c r="S33" s="16">
        <f t="shared" si="2"/>
        <v>6573.6677115987459</v>
      </c>
      <c r="T33" s="45">
        <f t="shared" si="3"/>
        <v>0.15091064535350657</v>
      </c>
      <c r="U33" s="40">
        <v>139</v>
      </c>
      <c r="V33" s="6" t="s">
        <v>55</v>
      </c>
      <c r="X33" t="s">
        <v>56</v>
      </c>
      <c r="Z33" s="7" t="s">
        <v>57</v>
      </c>
      <c r="AA33" t="s">
        <v>58</v>
      </c>
    </row>
    <row r="34" spans="1:27" x14ac:dyDescent="0.25">
      <c r="A34" t="s">
        <v>107</v>
      </c>
      <c r="B34" t="s">
        <v>108</v>
      </c>
      <c r="C34" s="26">
        <v>44348</v>
      </c>
      <c r="D34" s="16">
        <v>75000</v>
      </c>
      <c r="E34" t="s">
        <v>46</v>
      </c>
      <c r="F34" t="s">
        <v>47</v>
      </c>
      <c r="G34" s="16">
        <v>75000</v>
      </c>
      <c r="H34" s="16">
        <v>24300</v>
      </c>
      <c r="I34" s="21">
        <f t="shared" si="0"/>
        <v>32.4</v>
      </c>
      <c r="J34" s="16">
        <v>78327</v>
      </c>
      <c r="K34" s="16">
        <f>G34-73874</f>
        <v>1126</v>
      </c>
      <c r="L34" s="16">
        <v>4453</v>
      </c>
      <c r="M34" s="50">
        <f t="shared" si="4"/>
        <v>5.9373333333333334E-2</v>
      </c>
      <c r="N34" s="31">
        <v>34.256093999999997</v>
      </c>
      <c r="O34" s="35">
        <v>111.760002</v>
      </c>
      <c r="P34" s="40">
        <v>0.09</v>
      </c>
      <c r="Q34" s="40">
        <v>0.09</v>
      </c>
      <c r="R34" s="16">
        <f t="shared" si="1"/>
        <v>32.870063936653139</v>
      </c>
      <c r="S34" s="16">
        <f t="shared" si="2"/>
        <v>12511.111111111111</v>
      </c>
      <c r="T34" s="45">
        <f t="shared" si="3"/>
        <v>0.28721559024589327</v>
      </c>
      <c r="U34" s="40">
        <v>35</v>
      </c>
      <c r="V34" s="6" t="s">
        <v>55</v>
      </c>
      <c r="X34" t="s">
        <v>56</v>
      </c>
      <c r="Z34" s="7" t="s">
        <v>57</v>
      </c>
      <c r="AA34" t="s">
        <v>58</v>
      </c>
    </row>
    <row r="35" spans="1:27" x14ac:dyDescent="0.25">
      <c r="A35" t="s">
        <v>344</v>
      </c>
      <c r="B35" t="s">
        <v>345</v>
      </c>
      <c r="C35" s="26">
        <v>44700</v>
      </c>
      <c r="D35" s="16">
        <v>40000</v>
      </c>
      <c r="E35" t="s">
        <v>46</v>
      </c>
      <c r="F35" t="s">
        <v>47</v>
      </c>
      <c r="G35" s="16">
        <v>40000</v>
      </c>
      <c r="H35" s="16">
        <v>15500</v>
      </c>
      <c r="I35" s="21">
        <f t="shared" ref="I35:I66" si="5">H35/G35*100</f>
        <v>38.75</v>
      </c>
      <c r="J35" s="16">
        <v>43218</v>
      </c>
      <c r="K35" s="16">
        <f>G35-38495</f>
        <v>1505</v>
      </c>
      <c r="L35" s="16">
        <v>4723</v>
      </c>
      <c r="M35" s="50">
        <f t="shared" si="4"/>
        <v>0.118075</v>
      </c>
      <c r="N35" s="31">
        <v>36.331803999999998</v>
      </c>
      <c r="O35" s="35">
        <v>110</v>
      </c>
      <c r="P35" s="40">
        <v>0.10100000000000001</v>
      </c>
      <c r="Q35" s="40">
        <v>0.10100000000000001</v>
      </c>
      <c r="R35" s="16">
        <f t="shared" ref="R35:R66" si="6">K35/N35</f>
        <v>41.423761946970764</v>
      </c>
      <c r="S35" s="16">
        <f t="shared" ref="S35:S66" si="7">K35/P35</f>
        <v>14900.990099009899</v>
      </c>
      <c r="T35" s="45">
        <f t="shared" ref="T35:T66" si="8">K35/P35/43560</f>
        <v>0.34207966251170568</v>
      </c>
      <c r="U35" s="40">
        <v>40</v>
      </c>
      <c r="V35" s="6" t="s">
        <v>55</v>
      </c>
      <c r="X35" t="s">
        <v>56</v>
      </c>
      <c r="Z35" s="7" t="s">
        <v>57</v>
      </c>
      <c r="AA35" t="s">
        <v>58</v>
      </c>
    </row>
    <row r="36" spans="1:27" x14ac:dyDescent="0.25">
      <c r="A36" t="s">
        <v>213</v>
      </c>
      <c r="B36" t="s">
        <v>214</v>
      </c>
      <c r="C36" s="26">
        <v>44323</v>
      </c>
      <c r="D36" s="16">
        <v>70000</v>
      </c>
      <c r="E36" t="s">
        <v>46</v>
      </c>
      <c r="F36" t="s">
        <v>47</v>
      </c>
      <c r="G36" s="16">
        <v>70000</v>
      </c>
      <c r="H36" s="16">
        <v>22900</v>
      </c>
      <c r="I36" s="21">
        <f t="shared" si="5"/>
        <v>32.714285714285715</v>
      </c>
      <c r="J36" s="16">
        <v>72574</v>
      </c>
      <c r="K36" s="16">
        <f>G36-68674</f>
        <v>1326</v>
      </c>
      <c r="L36" s="16">
        <v>3900</v>
      </c>
      <c r="M36" s="50">
        <f t="shared" si="4"/>
        <v>5.5714285714285716E-2</v>
      </c>
      <c r="N36" s="31">
        <v>30</v>
      </c>
      <c r="O36" s="35">
        <v>100</v>
      </c>
      <c r="P36" s="40">
        <v>6.9000000000000006E-2</v>
      </c>
      <c r="Q36" s="40">
        <v>6.9000000000000006E-2</v>
      </c>
      <c r="R36" s="16">
        <f t="shared" si="6"/>
        <v>44.2</v>
      </c>
      <c r="S36" s="16">
        <f t="shared" si="7"/>
        <v>19217.391304347824</v>
      </c>
      <c r="T36" s="45">
        <f t="shared" si="8"/>
        <v>0.44117059927336605</v>
      </c>
      <c r="U36" s="40">
        <v>30</v>
      </c>
      <c r="V36" s="6" t="s">
        <v>55</v>
      </c>
      <c r="X36" t="s">
        <v>56</v>
      </c>
      <c r="Z36" s="7" t="s">
        <v>57</v>
      </c>
      <c r="AA36" t="s">
        <v>58</v>
      </c>
    </row>
    <row r="37" spans="1:27" x14ac:dyDescent="0.25">
      <c r="A37" t="s">
        <v>155</v>
      </c>
      <c r="B37" t="s">
        <v>156</v>
      </c>
      <c r="C37" s="26">
        <v>44442</v>
      </c>
      <c r="D37" s="16">
        <v>35000</v>
      </c>
      <c r="E37" t="s">
        <v>46</v>
      </c>
      <c r="F37" t="s">
        <v>47</v>
      </c>
      <c r="G37" s="16">
        <v>35000</v>
      </c>
      <c r="H37" s="16">
        <v>11300</v>
      </c>
      <c r="I37" s="21">
        <f t="shared" si="5"/>
        <v>32.285714285714285</v>
      </c>
      <c r="J37" s="16">
        <v>37364</v>
      </c>
      <c r="K37" s="16">
        <f>G37-33464</f>
        <v>1536</v>
      </c>
      <c r="L37" s="16">
        <v>3900</v>
      </c>
      <c r="M37" s="50">
        <f t="shared" si="4"/>
        <v>0.11142857142857143</v>
      </c>
      <c r="N37" s="31">
        <v>30</v>
      </c>
      <c r="O37" s="35">
        <v>100</v>
      </c>
      <c r="P37" s="40">
        <v>6.9000000000000006E-2</v>
      </c>
      <c r="Q37" s="40">
        <v>6.9000000000000006E-2</v>
      </c>
      <c r="R37" s="16">
        <f t="shared" si="6"/>
        <v>51.2</v>
      </c>
      <c r="S37" s="16">
        <f t="shared" si="7"/>
        <v>22260.869565217388</v>
      </c>
      <c r="T37" s="45">
        <f t="shared" si="8"/>
        <v>0.51103924621711172</v>
      </c>
      <c r="U37" s="40">
        <v>30</v>
      </c>
      <c r="V37" s="6" t="s">
        <v>55</v>
      </c>
      <c r="X37" t="s">
        <v>56</v>
      </c>
      <c r="Z37" s="7" t="s">
        <v>57</v>
      </c>
      <c r="AA37" t="s">
        <v>58</v>
      </c>
    </row>
    <row r="38" spans="1:27" x14ac:dyDescent="0.25">
      <c r="A38" t="s">
        <v>101</v>
      </c>
      <c r="B38" t="s">
        <v>102</v>
      </c>
      <c r="C38" s="26">
        <v>44589</v>
      </c>
      <c r="D38" s="16">
        <v>70000</v>
      </c>
      <c r="E38" t="s">
        <v>61</v>
      </c>
      <c r="F38" t="s">
        <v>47</v>
      </c>
      <c r="G38" s="16">
        <v>70000</v>
      </c>
      <c r="H38" s="16">
        <v>22100</v>
      </c>
      <c r="I38" s="21">
        <f t="shared" si="5"/>
        <v>31.571428571428573</v>
      </c>
      <c r="J38" s="16">
        <v>72219</v>
      </c>
      <c r="K38" s="16">
        <f>G38-68166</f>
        <v>1834</v>
      </c>
      <c r="L38" s="16">
        <v>4053</v>
      </c>
      <c r="M38" s="50">
        <f t="shared" si="4"/>
        <v>5.79E-2</v>
      </c>
      <c r="N38" s="31">
        <v>31.176915000000001</v>
      </c>
      <c r="O38" s="35">
        <v>108</v>
      </c>
      <c r="P38" s="40">
        <v>7.3999999999999996E-2</v>
      </c>
      <c r="Q38" s="40">
        <v>7.3999999999999996E-2</v>
      </c>
      <c r="R38" s="16">
        <f t="shared" si="6"/>
        <v>58.825576552394615</v>
      </c>
      <c r="S38" s="16">
        <f t="shared" si="7"/>
        <v>24783.783783783783</v>
      </c>
      <c r="T38" s="45">
        <f t="shared" si="8"/>
        <v>0.5689573871392053</v>
      </c>
      <c r="U38" s="40">
        <v>30</v>
      </c>
      <c r="V38" s="6" t="s">
        <v>55</v>
      </c>
      <c r="X38" t="s">
        <v>56</v>
      </c>
      <c r="Z38" s="7" t="s">
        <v>57</v>
      </c>
      <c r="AA38" t="s">
        <v>58</v>
      </c>
    </row>
    <row r="39" spans="1:27" x14ac:dyDescent="0.25">
      <c r="A39" t="s">
        <v>109</v>
      </c>
      <c r="B39" t="s">
        <v>110</v>
      </c>
      <c r="C39" s="26">
        <v>44805</v>
      </c>
      <c r="D39" s="16">
        <v>43875</v>
      </c>
      <c r="E39" t="s">
        <v>46</v>
      </c>
      <c r="F39" t="s">
        <v>47</v>
      </c>
      <c r="G39" s="16">
        <v>43875</v>
      </c>
      <c r="H39" s="16">
        <v>16800</v>
      </c>
      <c r="I39" s="21">
        <f t="shared" si="5"/>
        <v>38.290598290598297</v>
      </c>
      <c r="J39" s="16">
        <v>45732</v>
      </c>
      <c r="K39" s="16">
        <f>G39-41642</f>
        <v>2233</v>
      </c>
      <c r="L39" s="16">
        <v>4090</v>
      </c>
      <c r="M39" s="50">
        <f t="shared" si="4"/>
        <v>9.3219373219373222E-2</v>
      </c>
      <c r="N39" s="31">
        <v>31.464265000000001</v>
      </c>
      <c r="O39" s="35">
        <v>110</v>
      </c>
      <c r="P39" s="40">
        <v>7.5999999999999998E-2</v>
      </c>
      <c r="Q39" s="40">
        <v>7.5999999999999998E-2</v>
      </c>
      <c r="R39" s="16">
        <f t="shared" si="6"/>
        <v>70.969399730138292</v>
      </c>
      <c r="S39" s="16">
        <f t="shared" si="7"/>
        <v>29381.578947368424</v>
      </c>
      <c r="T39" s="45">
        <f t="shared" si="8"/>
        <v>0.67450824029771406</v>
      </c>
      <c r="U39" s="40">
        <v>30</v>
      </c>
      <c r="V39" s="6" t="s">
        <v>55</v>
      </c>
      <c r="X39" t="s">
        <v>56</v>
      </c>
      <c r="Z39" s="7" t="s">
        <v>57</v>
      </c>
      <c r="AA39" t="s">
        <v>58</v>
      </c>
    </row>
    <row r="40" spans="1:27" x14ac:dyDescent="0.25">
      <c r="A40" t="s">
        <v>342</v>
      </c>
      <c r="B40" t="s">
        <v>343</v>
      </c>
      <c r="C40" s="26">
        <v>44335</v>
      </c>
      <c r="D40" s="16">
        <v>55000</v>
      </c>
      <c r="E40" t="s">
        <v>46</v>
      </c>
      <c r="F40" t="s">
        <v>47</v>
      </c>
      <c r="G40" s="16">
        <v>55000</v>
      </c>
      <c r="H40" s="16">
        <v>17800</v>
      </c>
      <c r="I40" s="21">
        <f t="shared" si="5"/>
        <v>32.36363636363636</v>
      </c>
      <c r="J40" s="16">
        <v>56580</v>
      </c>
      <c r="K40" s="16">
        <f>G40-51042</f>
        <v>3958</v>
      </c>
      <c r="L40" s="16">
        <v>5538</v>
      </c>
      <c r="M40" s="50">
        <f t="shared" si="4"/>
        <v>0.10069090909090909</v>
      </c>
      <c r="N40" s="31">
        <v>42.602817000000002</v>
      </c>
      <c r="O40" s="35">
        <v>110</v>
      </c>
      <c r="P40" s="40">
        <v>0.13900000000000001</v>
      </c>
      <c r="Q40" s="40">
        <v>0.13900000000000001</v>
      </c>
      <c r="R40" s="16">
        <f t="shared" si="6"/>
        <v>92.904654638213245</v>
      </c>
      <c r="S40" s="16">
        <f t="shared" si="7"/>
        <v>28474.820143884888</v>
      </c>
      <c r="T40" s="45">
        <f t="shared" si="8"/>
        <v>0.65369192249506169</v>
      </c>
      <c r="U40" s="40">
        <v>55</v>
      </c>
      <c r="V40" s="6" t="s">
        <v>55</v>
      </c>
      <c r="X40" t="s">
        <v>56</v>
      </c>
      <c r="Z40" s="7" t="s">
        <v>57</v>
      </c>
      <c r="AA40" t="s">
        <v>58</v>
      </c>
    </row>
    <row r="41" spans="1:27" x14ac:dyDescent="0.25">
      <c r="A41" t="s">
        <v>146</v>
      </c>
      <c r="B41" t="s">
        <v>147</v>
      </c>
      <c r="C41" s="26">
        <v>44706</v>
      </c>
      <c r="D41" s="16">
        <v>25500</v>
      </c>
      <c r="E41" t="s">
        <v>61</v>
      </c>
      <c r="F41" t="s">
        <v>64</v>
      </c>
      <c r="G41" s="16">
        <v>25500</v>
      </c>
      <c r="H41" s="16">
        <v>9900</v>
      </c>
      <c r="I41" s="21">
        <f t="shared" si="5"/>
        <v>38.82352941176471</v>
      </c>
      <c r="J41" s="16">
        <v>26470</v>
      </c>
      <c r="K41" s="16">
        <f>G41-19645</f>
        <v>5855</v>
      </c>
      <c r="L41" s="16">
        <v>6825</v>
      </c>
      <c r="M41" s="50">
        <f t="shared" si="4"/>
        <v>0.2676470588235294</v>
      </c>
      <c r="N41" s="31">
        <v>60</v>
      </c>
      <c r="O41" s="35">
        <v>200</v>
      </c>
      <c r="P41" s="40">
        <v>0.13800000000000001</v>
      </c>
      <c r="Q41" s="40">
        <v>6.9000000000000006E-2</v>
      </c>
      <c r="R41" s="16">
        <f t="shared" si="6"/>
        <v>97.583333333333329</v>
      </c>
      <c r="S41" s="16">
        <f t="shared" si="7"/>
        <v>42427.536231884056</v>
      </c>
      <c r="T41" s="45">
        <f t="shared" si="8"/>
        <v>0.97400220918007474</v>
      </c>
      <c r="U41" s="40">
        <v>60</v>
      </c>
      <c r="V41" s="6" t="s">
        <v>55</v>
      </c>
      <c r="W41" t="s">
        <v>148</v>
      </c>
      <c r="X41" t="s">
        <v>56</v>
      </c>
      <c r="Z41" s="7" t="s">
        <v>57</v>
      </c>
      <c r="AA41" t="s">
        <v>58</v>
      </c>
    </row>
    <row r="42" spans="1:27" x14ac:dyDescent="0.25">
      <c r="A42" t="s">
        <v>157</v>
      </c>
      <c r="B42" t="s">
        <v>158</v>
      </c>
      <c r="C42" s="26">
        <v>44957</v>
      </c>
      <c r="D42" s="16">
        <v>70000</v>
      </c>
      <c r="E42" t="s">
        <v>61</v>
      </c>
      <c r="F42" t="s">
        <v>64</v>
      </c>
      <c r="G42" s="16">
        <v>70000</v>
      </c>
      <c r="H42" s="16">
        <v>25700</v>
      </c>
      <c r="I42" s="21">
        <f t="shared" si="5"/>
        <v>36.714285714285715</v>
      </c>
      <c r="J42" s="16">
        <v>68551</v>
      </c>
      <c r="K42" s="16">
        <f>G42-60751</f>
        <v>9249</v>
      </c>
      <c r="L42" s="16">
        <v>7800</v>
      </c>
      <c r="M42" s="50">
        <f t="shared" si="4"/>
        <v>0.11142857142857143</v>
      </c>
      <c r="N42" s="31">
        <v>60</v>
      </c>
      <c r="O42" s="35">
        <v>200</v>
      </c>
      <c r="P42" s="40">
        <v>0.13800000000000001</v>
      </c>
      <c r="Q42" s="40">
        <v>6.9000000000000006E-2</v>
      </c>
      <c r="R42" s="16">
        <f t="shared" si="6"/>
        <v>154.15</v>
      </c>
      <c r="S42" s="16">
        <f t="shared" si="7"/>
        <v>67021.739130434784</v>
      </c>
      <c r="T42" s="45">
        <f t="shared" si="8"/>
        <v>1.5386074180540583</v>
      </c>
      <c r="U42" s="40">
        <v>60</v>
      </c>
      <c r="V42" s="6" t="s">
        <v>55</v>
      </c>
      <c r="W42" t="s">
        <v>159</v>
      </c>
      <c r="X42" t="s">
        <v>56</v>
      </c>
      <c r="Z42" s="7" t="s">
        <v>57</v>
      </c>
      <c r="AA42" t="s">
        <v>58</v>
      </c>
    </row>
    <row r="43" spans="1:27" x14ac:dyDescent="0.25">
      <c r="A43" t="s">
        <v>266</v>
      </c>
      <c r="B43" t="s">
        <v>267</v>
      </c>
      <c r="C43" s="26">
        <v>44869</v>
      </c>
      <c r="D43" s="16">
        <v>75100</v>
      </c>
      <c r="E43" t="s">
        <v>46</v>
      </c>
      <c r="F43" t="s">
        <v>47</v>
      </c>
      <c r="G43" s="16">
        <v>75100</v>
      </c>
      <c r="H43" s="16">
        <v>27400</v>
      </c>
      <c r="I43" s="21">
        <f t="shared" si="5"/>
        <v>36.484687083888154</v>
      </c>
      <c r="J43" s="16">
        <v>73962</v>
      </c>
      <c r="K43" s="16">
        <f>G43-68447</f>
        <v>6653</v>
      </c>
      <c r="L43" s="16">
        <v>5515</v>
      </c>
      <c r="M43" s="50">
        <f t="shared" si="4"/>
        <v>7.3435419440745678E-2</v>
      </c>
      <c r="N43" s="31">
        <v>42.426406999999998</v>
      </c>
      <c r="O43" s="35">
        <v>100</v>
      </c>
      <c r="P43" s="40">
        <v>0.13800000000000001</v>
      </c>
      <c r="Q43" s="40">
        <v>0.13800000000000001</v>
      </c>
      <c r="R43" s="16">
        <f t="shared" si="6"/>
        <v>156.81271336505117</v>
      </c>
      <c r="S43" s="16">
        <f t="shared" si="7"/>
        <v>48210.144927536225</v>
      </c>
      <c r="T43" s="45">
        <f t="shared" si="8"/>
        <v>1.1067526383731916</v>
      </c>
      <c r="U43" s="40">
        <v>60</v>
      </c>
      <c r="V43" s="6" t="s">
        <v>55</v>
      </c>
      <c r="X43" t="s">
        <v>56</v>
      </c>
      <c r="Z43" s="7" t="s">
        <v>57</v>
      </c>
      <c r="AA43" t="s">
        <v>58</v>
      </c>
    </row>
    <row r="44" spans="1:27" x14ac:dyDescent="0.25">
      <c r="A44" t="s">
        <v>223</v>
      </c>
      <c r="B44" t="s">
        <v>224</v>
      </c>
      <c r="C44" s="26">
        <v>44449</v>
      </c>
      <c r="D44" s="16">
        <v>65500</v>
      </c>
      <c r="E44" t="s">
        <v>46</v>
      </c>
      <c r="F44" t="s">
        <v>47</v>
      </c>
      <c r="G44" s="16">
        <v>65500</v>
      </c>
      <c r="H44" s="16">
        <v>20600</v>
      </c>
      <c r="I44" s="21">
        <f t="shared" si="5"/>
        <v>31.450381679389309</v>
      </c>
      <c r="J44" s="16">
        <v>64352</v>
      </c>
      <c r="K44" s="16">
        <f>G44-59575</f>
        <v>5925</v>
      </c>
      <c r="L44" s="16">
        <v>4777</v>
      </c>
      <c r="M44" s="50">
        <f t="shared" si="4"/>
        <v>7.2931297709923668E-2</v>
      </c>
      <c r="N44" s="31">
        <v>36.742345999999998</v>
      </c>
      <c r="O44" s="35">
        <v>100</v>
      </c>
      <c r="P44" s="40">
        <v>0.10299999999999999</v>
      </c>
      <c r="Q44" s="40">
        <v>0.10299999999999999</v>
      </c>
      <c r="R44" s="16">
        <f t="shared" si="6"/>
        <v>161.25807535534068</v>
      </c>
      <c r="S44" s="16">
        <f t="shared" si="7"/>
        <v>57524.271844660194</v>
      </c>
      <c r="T44" s="45">
        <f t="shared" si="8"/>
        <v>1.3205755703549171</v>
      </c>
      <c r="U44" s="40">
        <v>45</v>
      </c>
      <c r="V44" s="6" t="s">
        <v>55</v>
      </c>
      <c r="X44" t="s">
        <v>56</v>
      </c>
      <c r="Z44" s="7" t="s">
        <v>57</v>
      </c>
      <c r="AA44" t="s">
        <v>58</v>
      </c>
    </row>
    <row r="45" spans="1:27" x14ac:dyDescent="0.25">
      <c r="A45" t="s">
        <v>280</v>
      </c>
      <c r="B45" t="s">
        <v>281</v>
      </c>
      <c r="C45" s="26">
        <v>44721</v>
      </c>
      <c r="D45" s="16">
        <v>70000</v>
      </c>
      <c r="E45" t="s">
        <v>46</v>
      </c>
      <c r="F45" t="s">
        <v>64</v>
      </c>
      <c r="G45" s="16">
        <v>70000</v>
      </c>
      <c r="H45" s="16">
        <v>25300</v>
      </c>
      <c r="I45" s="21">
        <f t="shared" si="5"/>
        <v>36.142857142857146</v>
      </c>
      <c r="J45" s="16">
        <v>66668</v>
      </c>
      <c r="K45" s="16">
        <f>G45-57991</f>
        <v>12009</v>
      </c>
      <c r="L45" s="16">
        <v>8677</v>
      </c>
      <c r="M45" s="50">
        <f t="shared" si="4"/>
        <v>0.12395714285714286</v>
      </c>
      <c r="N45" s="31">
        <v>66.742345999999998</v>
      </c>
      <c r="O45" s="35">
        <v>200</v>
      </c>
      <c r="P45" s="40">
        <v>0.17199999999999999</v>
      </c>
      <c r="Q45" s="40">
        <v>0.10299999999999999</v>
      </c>
      <c r="R45" s="16">
        <f t="shared" si="6"/>
        <v>179.93074441824385</v>
      </c>
      <c r="S45" s="16">
        <f t="shared" si="7"/>
        <v>69819.767441860473</v>
      </c>
      <c r="T45" s="45">
        <f t="shared" si="8"/>
        <v>1.6028413095009291</v>
      </c>
      <c r="U45" s="40">
        <v>75</v>
      </c>
      <c r="V45" s="6" t="s">
        <v>55</v>
      </c>
      <c r="W45" t="s">
        <v>282</v>
      </c>
      <c r="X45" t="s">
        <v>56</v>
      </c>
      <c r="Z45" s="7" t="s">
        <v>57</v>
      </c>
      <c r="AA45" t="s">
        <v>58</v>
      </c>
    </row>
    <row r="46" spans="1:27" x14ac:dyDescent="0.25">
      <c r="A46" t="s">
        <v>313</v>
      </c>
      <c r="B46" t="s">
        <v>314</v>
      </c>
      <c r="C46" s="26">
        <v>44770</v>
      </c>
      <c r="D46" s="16">
        <v>72000</v>
      </c>
      <c r="E46" t="s">
        <v>46</v>
      </c>
      <c r="F46" t="s">
        <v>47</v>
      </c>
      <c r="G46" s="16">
        <v>72000</v>
      </c>
      <c r="H46" s="16">
        <v>25800</v>
      </c>
      <c r="I46" s="21">
        <f t="shared" si="5"/>
        <v>35.833333333333336</v>
      </c>
      <c r="J46" s="16">
        <v>70026</v>
      </c>
      <c r="K46" s="16">
        <f>G46-65030</f>
        <v>6970</v>
      </c>
      <c r="L46" s="16">
        <v>4996</v>
      </c>
      <c r="M46" s="50">
        <f t="shared" si="4"/>
        <v>6.9388888888888889E-2</v>
      </c>
      <c r="N46" s="31">
        <v>38.430456999999997</v>
      </c>
      <c r="O46" s="35">
        <v>109.400002</v>
      </c>
      <c r="P46" s="40">
        <v>0.113</v>
      </c>
      <c r="Q46" s="40">
        <v>0.113</v>
      </c>
      <c r="R46" s="16">
        <f t="shared" si="6"/>
        <v>181.36656558624844</v>
      </c>
      <c r="S46" s="16">
        <f t="shared" si="7"/>
        <v>61681.41592920354</v>
      </c>
      <c r="T46" s="45">
        <f t="shared" si="8"/>
        <v>1.4160104666942961</v>
      </c>
      <c r="U46" s="40">
        <v>45</v>
      </c>
      <c r="V46" s="6" t="s">
        <v>55</v>
      </c>
      <c r="X46" t="s">
        <v>56</v>
      </c>
      <c r="Z46" s="7" t="s">
        <v>57</v>
      </c>
      <c r="AA46" t="s">
        <v>58</v>
      </c>
    </row>
    <row r="47" spans="1:27" x14ac:dyDescent="0.25">
      <c r="A47" t="s">
        <v>283</v>
      </c>
      <c r="B47" t="s">
        <v>284</v>
      </c>
      <c r="C47" s="26">
        <v>44727</v>
      </c>
      <c r="D47" s="16">
        <v>68500</v>
      </c>
      <c r="E47" t="s">
        <v>46</v>
      </c>
      <c r="F47" t="s">
        <v>64</v>
      </c>
      <c r="G47" s="16">
        <v>68500</v>
      </c>
      <c r="H47" s="16">
        <v>25500</v>
      </c>
      <c r="I47" s="21">
        <f t="shared" si="5"/>
        <v>37.226277372262771</v>
      </c>
      <c r="J47" s="16">
        <v>63444</v>
      </c>
      <c r="K47" s="16">
        <f>G47-50662</f>
        <v>17838</v>
      </c>
      <c r="L47" s="16">
        <v>12782</v>
      </c>
      <c r="M47" s="50">
        <f t="shared" si="4"/>
        <v>0.1865985401459854</v>
      </c>
      <c r="N47" s="31">
        <v>98.324927000000002</v>
      </c>
      <c r="O47" s="35">
        <v>300</v>
      </c>
      <c r="P47" s="40">
        <v>0.24199999999999999</v>
      </c>
      <c r="Q47" s="40">
        <v>6.9000000000000006E-2</v>
      </c>
      <c r="R47" s="16">
        <f t="shared" si="6"/>
        <v>181.41889899394485</v>
      </c>
      <c r="S47" s="16">
        <f t="shared" si="7"/>
        <v>73710.74380165289</v>
      </c>
      <c r="T47" s="45">
        <f t="shared" si="8"/>
        <v>1.6921658356669627</v>
      </c>
      <c r="U47" s="40">
        <v>115.88</v>
      </c>
      <c r="V47" s="6" t="s">
        <v>55</v>
      </c>
      <c r="W47" t="s">
        <v>285</v>
      </c>
      <c r="X47" t="s">
        <v>56</v>
      </c>
      <c r="Z47" s="7" t="s">
        <v>57</v>
      </c>
      <c r="AA47" t="s">
        <v>58</v>
      </c>
    </row>
    <row r="48" spans="1:27" x14ac:dyDescent="0.25">
      <c r="A48" t="s">
        <v>225</v>
      </c>
      <c r="B48" t="s">
        <v>226</v>
      </c>
      <c r="C48" s="26">
        <v>44638</v>
      </c>
      <c r="D48" s="16">
        <v>54000</v>
      </c>
      <c r="E48" t="s">
        <v>46</v>
      </c>
      <c r="F48" t="s">
        <v>64</v>
      </c>
      <c r="G48" s="16">
        <v>54000</v>
      </c>
      <c r="H48" s="16">
        <v>14800</v>
      </c>
      <c r="I48" s="21">
        <f t="shared" si="5"/>
        <v>27.407407407407408</v>
      </c>
      <c r="J48" s="16">
        <v>45410</v>
      </c>
      <c r="K48" s="16">
        <f>G48-37610</f>
        <v>16390</v>
      </c>
      <c r="L48" s="16">
        <v>7800</v>
      </c>
      <c r="M48" s="50">
        <f t="shared" si="4"/>
        <v>0.14444444444444443</v>
      </c>
      <c r="N48" s="31">
        <v>60</v>
      </c>
      <c r="O48" s="35">
        <v>200</v>
      </c>
      <c r="P48" s="40">
        <v>0.13800000000000001</v>
      </c>
      <c r="Q48" s="40">
        <v>6.9000000000000006E-2</v>
      </c>
      <c r="R48" s="16">
        <f t="shared" si="6"/>
        <v>273.16666666666669</v>
      </c>
      <c r="S48" s="16">
        <f t="shared" si="7"/>
        <v>118768.11594202898</v>
      </c>
      <c r="T48" s="45">
        <f t="shared" si="8"/>
        <v>2.7265407700190307</v>
      </c>
      <c r="U48" s="40">
        <v>60</v>
      </c>
      <c r="V48" s="6" t="s">
        <v>55</v>
      </c>
      <c r="W48" t="s">
        <v>227</v>
      </c>
      <c r="X48" t="s">
        <v>56</v>
      </c>
      <c r="Z48" s="7" t="s">
        <v>57</v>
      </c>
      <c r="AA48" t="s">
        <v>58</v>
      </c>
    </row>
    <row r="49" spans="1:27" x14ac:dyDescent="0.25">
      <c r="A49" t="s">
        <v>274</v>
      </c>
      <c r="B49" t="s">
        <v>275</v>
      </c>
      <c r="C49" s="26">
        <v>44456</v>
      </c>
      <c r="D49" s="16">
        <v>60000</v>
      </c>
      <c r="E49" t="s">
        <v>46</v>
      </c>
      <c r="F49" t="s">
        <v>47</v>
      </c>
      <c r="G49" s="16">
        <v>60000</v>
      </c>
      <c r="H49" s="16">
        <v>16100</v>
      </c>
      <c r="I49" s="21">
        <f t="shared" si="5"/>
        <v>26.833333333333332</v>
      </c>
      <c r="J49" s="16">
        <v>53466</v>
      </c>
      <c r="K49" s="16">
        <f>G49-49566</f>
        <v>10434</v>
      </c>
      <c r="L49" s="16">
        <v>3900</v>
      </c>
      <c r="M49" s="50">
        <f t="shared" si="4"/>
        <v>6.5000000000000002E-2</v>
      </c>
      <c r="N49" s="31">
        <v>30</v>
      </c>
      <c r="O49" s="35">
        <v>100</v>
      </c>
      <c r="P49" s="40">
        <v>6.9000000000000006E-2</v>
      </c>
      <c r="Q49" s="40">
        <v>6.9000000000000006E-2</v>
      </c>
      <c r="R49" s="16">
        <f t="shared" si="6"/>
        <v>347.8</v>
      </c>
      <c r="S49" s="16">
        <f t="shared" si="7"/>
        <v>151217.39130434781</v>
      </c>
      <c r="T49" s="45">
        <f t="shared" si="8"/>
        <v>3.4714736295763959</v>
      </c>
      <c r="U49" s="40">
        <v>30</v>
      </c>
      <c r="V49" s="6" t="s">
        <v>55</v>
      </c>
      <c r="X49" t="s">
        <v>56</v>
      </c>
      <c r="Z49" s="7" t="s">
        <v>57</v>
      </c>
      <c r="AA49" t="s">
        <v>58</v>
      </c>
    </row>
    <row r="50" spans="1:27" x14ac:dyDescent="0.25">
      <c r="A50" t="s">
        <v>105</v>
      </c>
      <c r="B50" t="s">
        <v>106</v>
      </c>
      <c r="C50" s="26">
        <v>44984</v>
      </c>
      <c r="D50" s="16">
        <v>80000</v>
      </c>
      <c r="E50" t="s">
        <v>85</v>
      </c>
      <c r="F50" t="s">
        <v>47</v>
      </c>
      <c r="G50" s="16">
        <v>80000</v>
      </c>
      <c r="H50" s="16">
        <v>26800</v>
      </c>
      <c r="I50" s="21">
        <f t="shared" si="5"/>
        <v>33.5</v>
      </c>
      <c r="J50" s="16">
        <v>73018</v>
      </c>
      <c r="K50" s="16">
        <f>G50-68895</f>
        <v>11105</v>
      </c>
      <c r="L50" s="16">
        <v>4123</v>
      </c>
      <c r="M50" s="50">
        <f t="shared" si="4"/>
        <v>5.15375E-2</v>
      </c>
      <c r="N50" s="31">
        <v>31.714981000000002</v>
      </c>
      <c r="O50" s="35">
        <v>111.760002</v>
      </c>
      <c r="P50" s="40">
        <v>7.6999999999999999E-2</v>
      </c>
      <c r="Q50" s="40">
        <v>7.6999999999999999E-2</v>
      </c>
      <c r="R50" s="16">
        <f t="shared" si="6"/>
        <v>350.14998117135872</v>
      </c>
      <c r="S50" s="16">
        <f t="shared" si="7"/>
        <v>144220.77922077922</v>
      </c>
      <c r="T50" s="45">
        <f t="shared" si="8"/>
        <v>3.3108535174650879</v>
      </c>
      <c r="U50" s="40">
        <v>30</v>
      </c>
      <c r="V50" s="6" t="s">
        <v>55</v>
      </c>
      <c r="X50" t="s">
        <v>56</v>
      </c>
      <c r="Z50" s="7" t="s">
        <v>57</v>
      </c>
      <c r="AA50" t="s">
        <v>58</v>
      </c>
    </row>
    <row r="51" spans="1:27" x14ac:dyDescent="0.25">
      <c r="A51" t="s">
        <v>136</v>
      </c>
      <c r="B51" t="s">
        <v>137</v>
      </c>
      <c r="C51" s="26">
        <v>44705</v>
      </c>
      <c r="D51" s="16">
        <v>52000</v>
      </c>
      <c r="E51" t="s">
        <v>46</v>
      </c>
      <c r="F51" t="s">
        <v>47</v>
      </c>
      <c r="G51" s="16">
        <v>52000</v>
      </c>
      <c r="H51" s="16">
        <v>16800</v>
      </c>
      <c r="I51" s="21">
        <f t="shared" si="5"/>
        <v>32.307692307692307</v>
      </c>
      <c r="J51" s="16">
        <v>45387</v>
      </c>
      <c r="K51" s="16">
        <f>G51-41487</f>
        <v>10513</v>
      </c>
      <c r="L51" s="16">
        <v>3900</v>
      </c>
      <c r="M51" s="50">
        <f t="shared" si="4"/>
        <v>7.4999999999999997E-2</v>
      </c>
      <c r="N51" s="31">
        <v>30</v>
      </c>
      <c r="O51" s="35">
        <v>100</v>
      </c>
      <c r="P51" s="40">
        <v>6.9000000000000006E-2</v>
      </c>
      <c r="Q51" s="40">
        <v>6.9000000000000006E-2</v>
      </c>
      <c r="R51" s="16">
        <f t="shared" si="6"/>
        <v>350.43333333333334</v>
      </c>
      <c r="S51" s="16">
        <f t="shared" si="7"/>
        <v>152362.31884057971</v>
      </c>
      <c r="T51" s="45">
        <f t="shared" si="8"/>
        <v>3.4977575491409483</v>
      </c>
      <c r="U51" s="40">
        <v>30</v>
      </c>
      <c r="V51" s="6" t="s">
        <v>55</v>
      </c>
      <c r="X51" t="s">
        <v>56</v>
      </c>
      <c r="Z51" s="7" t="s">
        <v>57</v>
      </c>
      <c r="AA51" t="s">
        <v>58</v>
      </c>
    </row>
    <row r="52" spans="1:27" x14ac:dyDescent="0.25">
      <c r="A52" t="s">
        <v>176</v>
      </c>
      <c r="B52" t="s">
        <v>177</v>
      </c>
      <c r="C52" s="26">
        <v>44386</v>
      </c>
      <c r="D52" s="16">
        <v>100000</v>
      </c>
      <c r="E52" t="s">
        <v>46</v>
      </c>
      <c r="F52" t="s">
        <v>47</v>
      </c>
      <c r="G52" s="16">
        <v>100000</v>
      </c>
      <c r="H52" s="16">
        <v>29400</v>
      </c>
      <c r="I52" s="21">
        <f t="shared" si="5"/>
        <v>29.4</v>
      </c>
      <c r="J52" s="16">
        <v>93335</v>
      </c>
      <c r="K52" s="16">
        <f>G52-89567</f>
        <v>10433</v>
      </c>
      <c r="L52" s="16">
        <v>3768</v>
      </c>
      <c r="M52" s="50">
        <f t="shared" si="4"/>
        <v>3.7679999999999998E-2</v>
      </c>
      <c r="N52" s="31">
        <v>28.982752999999999</v>
      </c>
      <c r="O52" s="35">
        <v>70</v>
      </c>
      <c r="P52" s="40">
        <v>6.4000000000000001E-2</v>
      </c>
      <c r="Q52" s="40">
        <v>6.4000000000000001E-2</v>
      </c>
      <c r="R52" s="16">
        <f t="shared" si="6"/>
        <v>359.97270514640206</v>
      </c>
      <c r="S52" s="16">
        <f t="shared" si="7"/>
        <v>163015.625</v>
      </c>
      <c r="T52" s="45">
        <f t="shared" si="8"/>
        <v>3.742323806244261</v>
      </c>
      <c r="U52" s="40">
        <v>40</v>
      </c>
      <c r="V52" s="6" t="s">
        <v>55</v>
      </c>
      <c r="X52" t="s">
        <v>56</v>
      </c>
      <c r="Z52" s="7" t="s">
        <v>57</v>
      </c>
      <c r="AA52" t="s">
        <v>58</v>
      </c>
    </row>
    <row r="53" spans="1:27" x14ac:dyDescent="0.25">
      <c r="A53" t="s">
        <v>113</v>
      </c>
      <c r="B53" t="s">
        <v>114</v>
      </c>
      <c r="C53" s="26">
        <v>44687</v>
      </c>
      <c r="D53" s="16">
        <v>75000</v>
      </c>
      <c r="E53" t="s">
        <v>46</v>
      </c>
      <c r="F53" t="s">
        <v>47</v>
      </c>
      <c r="G53" s="16">
        <v>75000</v>
      </c>
      <c r="H53" s="16">
        <v>24300</v>
      </c>
      <c r="I53" s="21">
        <f t="shared" si="5"/>
        <v>32.4</v>
      </c>
      <c r="J53" s="16">
        <v>65830</v>
      </c>
      <c r="K53" s="16">
        <f>G53-60678</f>
        <v>14322</v>
      </c>
      <c r="L53" s="16">
        <v>5152</v>
      </c>
      <c r="M53" s="50">
        <f t="shared" si="4"/>
        <v>6.8693333333333328E-2</v>
      </c>
      <c r="N53" s="31">
        <v>39.627156999999997</v>
      </c>
      <c r="O53" s="35">
        <v>109.885002</v>
      </c>
      <c r="P53" s="40">
        <v>0.12</v>
      </c>
      <c r="Q53" s="40">
        <v>0.12</v>
      </c>
      <c r="R53" s="16">
        <f t="shared" si="6"/>
        <v>361.4188118516804</v>
      </c>
      <c r="S53" s="16">
        <f t="shared" si="7"/>
        <v>119350</v>
      </c>
      <c r="T53" s="45">
        <f t="shared" si="8"/>
        <v>2.7398989898989901</v>
      </c>
      <c r="U53" s="40">
        <v>47.634999999999998</v>
      </c>
      <c r="V53" s="6" t="s">
        <v>55</v>
      </c>
      <c r="X53" t="s">
        <v>56</v>
      </c>
      <c r="Z53" s="7" t="s">
        <v>57</v>
      </c>
      <c r="AA53" t="s">
        <v>58</v>
      </c>
    </row>
    <row r="54" spans="1:27" x14ac:dyDescent="0.25">
      <c r="A54" t="s">
        <v>149</v>
      </c>
      <c r="B54" t="s">
        <v>150</v>
      </c>
      <c r="C54" s="26">
        <v>44763</v>
      </c>
      <c r="D54" s="16">
        <v>85500</v>
      </c>
      <c r="E54" t="s">
        <v>46</v>
      </c>
      <c r="F54" t="s">
        <v>47</v>
      </c>
      <c r="G54" s="16">
        <v>85500</v>
      </c>
      <c r="H54" s="16">
        <v>27800</v>
      </c>
      <c r="I54" s="21">
        <f t="shared" si="5"/>
        <v>32.514619883040936</v>
      </c>
      <c r="J54" s="16">
        <v>75394</v>
      </c>
      <c r="K54" s="16">
        <f>G54-69879</f>
        <v>15621</v>
      </c>
      <c r="L54" s="16">
        <v>5515</v>
      </c>
      <c r="M54" s="50">
        <f t="shared" si="4"/>
        <v>6.4502923976608187E-2</v>
      </c>
      <c r="N54" s="31">
        <v>42.426406999999998</v>
      </c>
      <c r="O54" s="35">
        <v>100</v>
      </c>
      <c r="P54" s="40">
        <v>0.13800000000000001</v>
      </c>
      <c r="Q54" s="40">
        <v>0.13800000000000001</v>
      </c>
      <c r="R54" s="16">
        <f t="shared" si="6"/>
        <v>368.19049984600395</v>
      </c>
      <c r="S54" s="16">
        <f t="shared" si="7"/>
        <v>113195.65217391304</v>
      </c>
      <c r="T54" s="45">
        <f t="shared" si="8"/>
        <v>2.5986146045434584</v>
      </c>
      <c r="U54" s="40">
        <v>60</v>
      </c>
      <c r="V54" s="6" t="s">
        <v>55</v>
      </c>
      <c r="X54" t="s">
        <v>56</v>
      </c>
      <c r="Z54" s="7" t="s">
        <v>57</v>
      </c>
      <c r="AA54" t="s">
        <v>58</v>
      </c>
    </row>
    <row r="55" spans="1:27" x14ac:dyDescent="0.25">
      <c r="A55" t="s">
        <v>292</v>
      </c>
      <c r="B55" t="s">
        <v>293</v>
      </c>
      <c r="C55" s="26">
        <v>44679</v>
      </c>
      <c r="D55" s="16">
        <v>57000</v>
      </c>
      <c r="E55" t="s">
        <v>61</v>
      </c>
      <c r="F55" t="s">
        <v>47</v>
      </c>
      <c r="G55" s="16">
        <v>57000</v>
      </c>
      <c r="H55" s="16">
        <v>18400</v>
      </c>
      <c r="I55" s="21">
        <f t="shared" si="5"/>
        <v>32.280701754385966</v>
      </c>
      <c r="J55" s="16">
        <v>49447</v>
      </c>
      <c r="K55" s="16">
        <f>G55-45356</f>
        <v>11644</v>
      </c>
      <c r="L55" s="16">
        <v>4091</v>
      </c>
      <c r="M55" s="50">
        <f t="shared" si="4"/>
        <v>7.1771929824561403E-2</v>
      </c>
      <c r="N55" s="31">
        <v>31.469985999999999</v>
      </c>
      <c r="O55" s="35">
        <v>110.040001</v>
      </c>
      <c r="P55" s="40">
        <v>7.5999999999999998E-2</v>
      </c>
      <c r="Q55" s="40">
        <v>7.5999999999999998E-2</v>
      </c>
      <c r="R55" s="16">
        <f t="shared" si="6"/>
        <v>370.00334223218277</v>
      </c>
      <c r="S55" s="16">
        <f t="shared" si="7"/>
        <v>153210.52631578947</v>
      </c>
      <c r="T55" s="45">
        <f t="shared" si="8"/>
        <v>3.5172297134019619</v>
      </c>
      <c r="U55" s="40">
        <v>30</v>
      </c>
      <c r="V55" s="6" t="s">
        <v>55</v>
      </c>
      <c r="X55" t="s">
        <v>56</v>
      </c>
      <c r="Z55" s="7" t="s">
        <v>57</v>
      </c>
      <c r="AA55" t="s">
        <v>58</v>
      </c>
    </row>
    <row r="56" spans="1:27" x14ac:dyDescent="0.25">
      <c r="A56" t="s">
        <v>242</v>
      </c>
      <c r="B56" t="s">
        <v>243</v>
      </c>
      <c r="C56" s="26">
        <v>45012</v>
      </c>
      <c r="D56" s="16">
        <v>120000</v>
      </c>
      <c r="E56" t="s">
        <v>46</v>
      </c>
      <c r="F56" t="s">
        <v>47</v>
      </c>
      <c r="G56" s="16">
        <v>120000</v>
      </c>
      <c r="H56" s="16">
        <v>42200</v>
      </c>
      <c r="I56" s="21">
        <f t="shared" si="5"/>
        <v>35.166666666666671</v>
      </c>
      <c r="J56" s="16">
        <v>112431</v>
      </c>
      <c r="K56" s="16">
        <f>G56-108341</f>
        <v>11659</v>
      </c>
      <c r="L56" s="16">
        <v>4090</v>
      </c>
      <c r="M56" s="50">
        <f t="shared" si="4"/>
        <v>3.4083333333333334E-2</v>
      </c>
      <c r="N56" s="31">
        <v>31.464265000000001</v>
      </c>
      <c r="O56" s="35">
        <v>110</v>
      </c>
      <c r="P56" s="40">
        <v>7.5999999999999998E-2</v>
      </c>
      <c r="Q56" s="40">
        <v>7.5999999999999998E-2</v>
      </c>
      <c r="R56" s="16">
        <f t="shared" si="6"/>
        <v>370.54734950903827</v>
      </c>
      <c r="S56" s="16">
        <f t="shared" si="7"/>
        <v>153407.89473684211</v>
      </c>
      <c r="T56" s="45">
        <f t="shared" si="8"/>
        <v>3.5217606688898555</v>
      </c>
      <c r="U56" s="40">
        <v>30</v>
      </c>
      <c r="V56" s="6" t="s">
        <v>55</v>
      </c>
      <c r="X56" t="s">
        <v>56</v>
      </c>
      <c r="Z56" s="7" t="s">
        <v>57</v>
      </c>
      <c r="AA56" t="s">
        <v>58</v>
      </c>
    </row>
    <row r="57" spans="1:27" x14ac:dyDescent="0.25">
      <c r="A57" t="s">
        <v>197</v>
      </c>
      <c r="B57" t="s">
        <v>198</v>
      </c>
      <c r="C57" s="26">
        <v>44743</v>
      </c>
      <c r="D57" s="16">
        <v>62500</v>
      </c>
      <c r="E57" t="s">
        <v>46</v>
      </c>
      <c r="F57" t="s">
        <v>47</v>
      </c>
      <c r="G57" s="16">
        <v>62500</v>
      </c>
      <c r="H57" s="16">
        <v>20100</v>
      </c>
      <c r="I57" s="21">
        <f t="shared" si="5"/>
        <v>32.159999999999997</v>
      </c>
      <c r="J57" s="16">
        <v>54523</v>
      </c>
      <c r="K57" s="16">
        <f>G57-50433</f>
        <v>12067</v>
      </c>
      <c r="L57" s="16">
        <v>4090</v>
      </c>
      <c r="M57" s="50">
        <f t="shared" si="4"/>
        <v>6.5439999999999998E-2</v>
      </c>
      <c r="N57" s="31">
        <v>31.464265000000001</v>
      </c>
      <c r="O57" s="35">
        <v>110</v>
      </c>
      <c r="P57" s="40">
        <v>7.5999999999999998E-2</v>
      </c>
      <c r="Q57" s="40">
        <v>7.5999999999999998E-2</v>
      </c>
      <c r="R57" s="16">
        <f t="shared" si="6"/>
        <v>383.51444090621533</v>
      </c>
      <c r="S57" s="16">
        <f t="shared" si="7"/>
        <v>158776.31578947368</v>
      </c>
      <c r="T57" s="45">
        <f t="shared" si="8"/>
        <v>3.6450026581605526</v>
      </c>
      <c r="U57" s="40">
        <v>30</v>
      </c>
      <c r="V57" s="6" t="s">
        <v>55</v>
      </c>
      <c r="X57" t="s">
        <v>56</v>
      </c>
      <c r="Z57" s="7" t="s">
        <v>57</v>
      </c>
      <c r="AA57" t="s">
        <v>58</v>
      </c>
    </row>
    <row r="58" spans="1:27" x14ac:dyDescent="0.25">
      <c r="A58" t="s">
        <v>192</v>
      </c>
      <c r="B58" t="s">
        <v>193</v>
      </c>
      <c r="C58" s="26">
        <v>44762</v>
      </c>
      <c r="D58" s="16">
        <v>53000</v>
      </c>
      <c r="E58" t="s">
        <v>46</v>
      </c>
      <c r="F58" t="s">
        <v>47</v>
      </c>
      <c r="G58" s="16">
        <v>53000</v>
      </c>
      <c r="H58" s="16">
        <v>16500</v>
      </c>
      <c r="I58" s="21">
        <f t="shared" si="5"/>
        <v>31.132075471698112</v>
      </c>
      <c r="J58" s="16">
        <v>44525</v>
      </c>
      <c r="K58" s="16">
        <f>G58-40435</f>
        <v>12565</v>
      </c>
      <c r="L58" s="16">
        <v>4090</v>
      </c>
      <c r="M58" s="50">
        <f t="shared" si="4"/>
        <v>7.7169811320754719E-2</v>
      </c>
      <c r="N58" s="31">
        <v>31.464265000000001</v>
      </c>
      <c r="O58" s="35">
        <v>110</v>
      </c>
      <c r="P58" s="40">
        <v>7.5999999999999998E-2</v>
      </c>
      <c r="Q58" s="40">
        <v>7.5999999999999998E-2</v>
      </c>
      <c r="R58" s="16">
        <f t="shared" si="6"/>
        <v>399.34192011159325</v>
      </c>
      <c r="S58" s="16">
        <f t="shared" si="7"/>
        <v>165328.94736842107</v>
      </c>
      <c r="T58" s="45">
        <f t="shared" si="8"/>
        <v>3.7954303803586105</v>
      </c>
      <c r="U58" s="40">
        <v>30</v>
      </c>
      <c r="V58" s="6" t="s">
        <v>55</v>
      </c>
      <c r="X58" t="s">
        <v>56</v>
      </c>
      <c r="Z58" s="7" t="s">
        <v>57</v>
      </c>
      <c r="AA58" t="s">
        <v>58</v>
      </c>
    </row>
    <row r="59" spans="1:27" x14ac:dyDescent="0.25">
      <c r="A59" t="s">
        <v>199</v>
      </c>
      <c r="B59" t="s">
        <v>200</v>
      </c>
      <c r="C59" s="26">
        <v>44375</v>
      </c>
      <c r="D59" s="16">
        <v>63500</v>
      </c>
      <c r="E59" t="s">
        <v>46</v>
      </c>
      <c r="F59" t="s">
        <v>47</v>
      </c>
      <c r="G59" s="16">
        <v>63500</v>
      </c>
      <c r="H59" s="16">
        <v>16300</v>
      </c>
      <c r="I59" s="21">
        <f t="shared" si="5"/>
        <v>25.669291338582678</v>
      </c>
      <c r="J59" s="16">
        <v>54687</v>
      </c>
      <c r="K59" s="16">
        <f>G59-50597</f>
        <v>12903</v>
      </c>
      <c r="L59" s="16">
        <v>4090</v>
      </c>
      <c r="M59" s="50">
        <f t="shared" si="4"/>
        <v>6.4409448818897638E-2</v>
      </c>
      <c r="N59" s="31">
        <v>31.464265000000001</v>
      </c>
      <c r="O59" s="35">
        <v>110</v>
      </c>
      <c r="P59" s="40">
        <v>7.5999999999999998E-2</v>
      </c>
      <c r="Q59" s="40">
        <v>7.5999999999999998E-2</v>
      </c>
      <c r="R59" s="16">
        <f t="shared" si="6"/>
        <v>410.08426543572523</v>
      </c>
      <c r="S59" s="16">
        <f t="shared" si="7"/>
        <v>169776.31578947368</v>
      </c>
      <c r="T59" s="45">
        <f t="shared" si="8"/>
        <v>3.8975279106858052</v>
      </c>
      <c r="U59" s="40">
        <v>30</v>
      </c>
      <c r="V59" s="6" t="s">
        <v>55</v>
      </c>
      <c r="X59" t="s">
        <v>56</v>
      </c>
      <c r="Z59" s="7" t="s">
        <v>57</v>
      </c>
      <c r="AA59" t="s">
        <v>58</v>
      </c>
    </row>
    <row r="60" spans="1:27" x14ac:dyDescent="0.25">
      <c r="A60" t="s">
        <v>302</v>
      </c>
      <c r="B60" t="s">
        <v>303</v>
      </c>
      <c r="C60" s="26">
        <v>44790</v>
      </c>
      <c r="D60" s="16">
        <v>65000</v>
      </c>
      <c r="E60" t="s">
        <v>46</v>
      </c>
      <c r="F60" t="s">
        <v>47</v>
      </c>
      <c r="G60" s="16">
        <v>65000</v>
      </c>
      <c r="H60" s="16">
        <v>20200</v>
      </c>
      <c r="I60" s="21">
        <f t="shared" si="5"/>
        <v>31.076923076923073</v>
      </c>
      <c r="J60" s="16">
        <v>54897</v>
      </c>
      <c r="K60" s="16">
        <f>G60-50394</f>
        <v>14606</v>
      </c>
      <c r="L60" s="16">
        <v>4503</v>
      </c>
      <c r="M60" s="50">
        <f t="shared" si="4"/>
        <v>6.9276923076923083E-2</v>
      </c>
      <c r="N60" s="31">
        <v>34.641016</v>
      </c>
      <c r="O60" s="35">
        <v>100</v>
      </c>
      <c r="P60" s="40">
        <v>9.1999999999999998E-2</v>
      </c>
      <c r="Q60" s="40">
        <v>9.1999999999999998E-2</v>
      </c>
      <c r="R60" s="16">
        <f t="shared" si="6"/>
        <v>421.63890343170073</v>
      </c>
      <c r="S60" s="16">
        <f t="shared" si="7"/>
        <v>158760.86956521741</v>
      </c>
      <c r="T60" s="45">
        <f t="shared" si="8"/>
        <v>3.6446480616441095</v>
      </c>
      <c r="U60" s="40">
        <v>40</v>
      </c>
      <c r="V60" s="6" t="s">
        <v>55</v>
      </c>
      <c r="X60" t="s">
        <v>56</v>
      </c>
      <c r="Z60" s="7" t="s">
        <v>57</v>
      </c>
      <c r="AA60" t="s">
        <v>58</v>
      </c>
    </row>
    <row r="61" spans="1:27" x14ac:dyDescent="0.25">
      <c r="A61" t="s">
        <v>66</v>
      </c>
      <c r="B61" t="s">
        <v>67</v>
      </c>
      <c r="C61" s="26">
        <v>44630</v>
      </c>
      <c r="D61" s="16">
        <v>62500</v>
      </c>
      <c r="E61" t="s">
        <v>46</v>
      </c>
      <c r="F61" t="s">
        <v>47</v>
      </c>
      <c r="G61" s="16">
        <v>62500</v>
      </c>
      <c r="H61" s="16">
        <v>16200</v>
      </c>
      <c r="I61" s="21">
        <f t="shared" si="5"/>
        <v>25.919999999999998</v>
      </c>
      <c r="J61" s="16">
        <v>51014</v>
      </c>
      <c r="K61" s="16">
        <f>G61-46179</f>
        <v>16321</v>
      </c>
      <c r="L61" s="16">
        <v>4835</v>
      </c>
      <c r="M61" s="50">
        <f t="shared" si="4"/>
        <v>7.7359999999999998E-2</v>
      </c>
      <c r="N61" s="31">
        <v>37.195160999999999</v>
      </c>
      <c r="O61" s="35">
        <v>102.480003</v>
      </c>
      <c r="P61" s="40">
        <v>0.106</v>
      </c>
      <c r="Q61" s="40">
        <v>0.106</v>
      </c>
      <c r="R61" s="16">
        <f t="shared" si="6"/>
        <v>438.79363769926954</v>
      </c>
      <c r="S61" s="16">
        <f t="shared" si="7"/>
        <v>153971.69811320756</v>
      </c>
      <c r="T61" s="45">
        <f t="shared" si="8"/>
        <v>3.534703813434517</v>
      </c>
      <c r="U61" s="40">
        <v>45</v>
      </c>
      <c r="V61" s="6" t="s">
        <v>55</v>
      </c>
      <c r="X61" t="s">
        <v>56</v>
      </c>
      <c r="Z61" s="7" t="s">
        <v>57</v>
      </c>
      <c r="AA61" t="s">
        <v>58</v>
      </c>
    </row>
    <row r="62" spans="1:27" x14ac:dyDescent="0.25">
      <c r="A62" t="s">
        <v>346</v>
      </c>
      <c r="B62" t="s">
        <v>347</v>
      </c>
      <c r="C62" s="26">
        <v>44582</v>
      </c>
      <c r="D62" s="16">
        <v>50000</v>
      </c>
      <c r="E62" t="s">
        <v>61</v>
      </c>
      <c r="F62" t="s">
        <v>47</v>
      </c>
      <c r="G62" s="16">
        <v>50000</v>
      </c>
      <c r="H62" s="16">
        <v>12800</v>
      </c>
      <c r="I62" s="21">
        <f t="shared" si="5"/>
        <v>25.6</v>
      </c>
      <c r="J62" s="16">
        <v>40363</v>
      </c>
      <c r="K62" s="16">
        <f>G62-36354</f>
        <v>13646</v>
      </c>
      <c r="L62" s="16">
        <v>4009</v>
      </c>
      <c r="M62" s="50">
        <f t="shared" si="4"/>
        <v>8.0180000000000001E-2</v>
      </c>
      <c r="N62" s="31">
        <v>30.839516</v>
      </c>
      <c r="O62" s="35">
        <v>110.040001</v>
      </c>
      <c r="P62" s="40">
        <v>7.2999999999999995E-2</v>
      </c>
      <c r="Q62" s="40">
        <v>7.2999999999999995E-2</v>
      </c>
      <c r="R62" s="16">
        <f t="shared" si="6"/>
        <v>442.48424651022407</v>
      </c>
      <c r="S62" s="16">
        <f t="shared" si="7"/>
        <v>186931.50684931508</v>
      </c>
      <c r="T62" s="45">
        <f t="shared" si="8"/>
        <v>4.2913569065499333</v>
      </c>
      <c r="U62" s="40">
        <v>28.81</v>
      </c>
      <c r="V62" s="6" t="s">
        <v>55</v>
      </c>
      <c r="X62" t="s">
        <v>56</v>
      </c>
      <c r="Z62" s="7" t="s">
        <v>57</v>
      </c>
      <c r="AA62" t="s">
        <v>58</v>
      </c>
    </row>
    <row r="63" spans="1:27" x14ac:dyDescent="0.25">
      <c r="A63" t="s">
        <v>190</v>
      </c>
      <c r="B63" t="s">
        <v>191</v>
      </c>
      <c r="C63" s="26">
        <v>44389</v>
      </c>
      <c r="D63" s="16">
        <v>80000</v>
      </c>
      <c r="E63" t="s">
        <v>46</v>
      </c>
      <c r="F63" t="s">
        <v>47</v>
      </c>
      <c r="G63" s="16">
        <v>80000</v>
      </c>
      <c r="H63" s="16">
        <v>21600</v>
      </c>
      <c r="I63" s="21">
        <f t="shared" si="5"/>
        <v>27</v>
      </c>
      <c r="J63" s="16">
        <v>69402</v>
      </c>
      <c r="K63" s="16">
        <f>G63-65312</f>
        <v>14688</v>
      </c>
      <c r="L63" s="16">
        <v>4090</v>
      </c>
      <c r="M63" s="50">
        <f t="shared" si="4"/>
        <v>5.1124999999999997E-2</v>
      </c>
      <c r="N63" s="31">
        <v>31.464265000000001</v>
      </c>
      <c r="O63" s="35">
        <v>110</v>
      </c>
      <c r="P63" s="40">
        <v>7.5999999999999998E-2</v>
      </c>
      <c r="Q63" s="40">
        <v>7.5999999999999998E-2</v>
      </c>
      <c r="R63" s="16">
        <f t="shared" si="6"/>
        <v>466.81529029837498</v>
      </c>
      <c r="S63" s="16">
        <f t="shared" si="7"/>
        <v>193263.15789473685</v>
      </c>
      <c r="T63" s="45">
        <f t="shared" si="8"/>
        <v>4.436711613745107</v>
      </c>
      <c r="U63" s="40">
        <v>30</v>
      </c>
      <c r="V63" s="6" t="s">
        <v>55</v>
      </c>
      <c r="X63" t="s">
        <v>56</v>
      </c>
      <c r="Z63" s="7" t="s">
        <v>57</v>
      </c>
      <c r="AA63" t="s">
        <v>58</v>
      </c>
    </row>
    <row r="64" spans="1:27" x14ac:dyDescent="0.25">
      <c r="A64" t="s">
        <v>209</v>
      </c>
      <c r="B64" t="s">
        <v>210</v>
      </c>
      <c r="C64" s="26">
        <v>44362</v>
      </c>
      <c r="D64" s="16">
        <v>55000</v>
      </c>
      <c r="E64" t="s">
        <v>61</v>
      </c>
      <c r="F64" t="s">
        <v>47</v>
      </c>
      <c r="G64" s="16">
        <v>55000</v>
      </c>
      <c r="H64" s="16">
        <v>14200</v>
      </c>
      <c r="I64" s="21">
        <f t="shared" si="5"/>
        <v>25.818181818181817</v>
      </c>
      <c r="J64" s="16">
        <v>44859</v>
      </c>
      <c r="K64" s="16">
        <f>G64-40959</f>
        <v>14041</v>
      </c>
      <c r="L64" s="16">
        <v>3900</v>
      </c>
      <c r="M64" s="50">
        <f t="shared" si="4"/>
        <v>7.0909090909090908E-2</v>
      </c>
      <c r="N64" s="31">
        <v>30</v>
      </c>
      <c r="O64" s="35">
        <v>100</v>
      </c>
      <c r="P64" s="40">
        <v>6.9000000000000006E-2</v>
      </c>
      <c r="Q64" s="40">
        <v>6.9000000000000006E-2</v>
      </c>
      <c r="R64" s="16">
        <f t="shared" si="6"/>
        <v>468.03333333333336</v>
      </c>
      <c r="S64" s="16">
        <f t="shared" si="7"/>
        <v>203492.75362318839</v>
      </c>
      <c r="T64" s="45">
        <f t="shared" si="8"/>
        <v>4.6715508177958762</v>
      </c>
      <c r="U64" s="40">
        <v>30</v>
      </c>
      <c r="V64" s="6" t="s">
        <v>55</v>
      </c>
      <c r="X64" t="s">
        <v>56</v>
      </c>
      <c r="Z64" s="7" t="s">
        <v>57</v>
      </c>
      <c r="AA64" t="s">
        <v>58</v>
      </c>
    </row>
    <row r="65" spans="1:27" x14ac:dyDescent="0.25">
      <c r="A65" t="s">
        <v>219</v>
      </c>
      <c r="B65" t="s">
        <v>220</v>
      </c>
      <c r="C65" s="26">
        <v>44851</v>
      </c>
      <c r="D65" s="16">
        <v>70500</v>
      </c>
      <c r="E65" t="s">
        <v>46</v>
      </c>
      <c r="F65" t="s">
        <v>47</v>
      </c>
      <c r="G65" s="16">
        <v>70500</v>
      </c>
      <c r="H65" s="16">
        <v>21900</v>
      </c>
      <c r="I65" s="21">
        <f t="shared" si="5"/>
        <v>31.063829787234042</v>
      </c>
      <c r="J65" s="16">
        <v>58981</v>
      </c>
      <c r="K65" s="16">
        <f>G65-54769</f>
        <v>15731</v>
      </c>
      <c r="L65" s="16">
        <v>4212</v>
      </c>
      <c r="M65" s="50">
        <f t="shared" si="4"/>
        <v>5.9744680851063832E-2</v>
      </c>
      <c r="N65" s="31">
        <v>32.403703</v>
      </c>
      <c r="O65" s="35">
        <v>100</v>
      </c>
      <c r="P65" s="40">
        <v>0.08</v>
      </c>
      <c r="Q65" s="40">
        <v>0.08</v>
      </c>
      <c r="R65" s="16">
        <f t="shared" si="6"/>
        <v>485.46920702241965</v>
      </c>
      <c r="S65" s="16">
        <f t="shared" si="7"/>
        <v>196637.5</v>
      </c>
      <c r="T65" s="45">
        <f t="shared" si="8"/>
        <v>4.5141758494031219</v>
      </c>
      <c r="U65" s="40">
        <v>35</v>
      </c>
      <c r="V65" s="6" t="s">
        <v>55</v>
      </c>
      <c r="X65" t="s">
        <v>56</v>
      </c>
      <c r="Z65" s="7" t="s">
        <v>57</v>
      </c>
      <c r="AA65" t="s">
        <v>58</v>
      </c>
    </row>
    <row r="66" spans="1:27" x14ac:dyDescent="0.25">
      <c r="A66" t="s">
        <v>221</v>
      </c>
      <c r="B66" t="s">
        <v>222</v>
      </c>
      <c r="C66" s="26">
        <v>44316</v>
      </c>
      <c r="D66" s="16">
        <v>84000</v>
      </c>
      <c r="E66" t="s">
        <v>61</v>
      </c>
      <c r="F66" t="s">
        <v>47</v>
      </c>
      <c r="G66" s="16">
        <v>84000</v>
      </c>
      <c r="H66" s="16">
        <v>22000</v>
      </c>
      <c r="I66" s="21">
        <f t="shared" si="5"/>
        <v>26.190476190476193</v>
      </c>
      <c r="J66" s="16">
        <v>70480</v>
      </c>
      <c r="K66" s="16">
        <f>G66-66268</f>
        <v>17732</v>
      </c>
      <c r="L66" s="16">
        <v>4212</v>
      </c>
      <c r="M66" s="50">
        <f t="shared" si="4"/>
        <v>5.0142857142857142E-2</v>
      </c>
      <c r="N66" s="31">
        <v>32.403703</v>
      </c>
      <c r="O66" s="35">
        <v>100</v>
      </c>
      <c r="P66" s="40">
        <v>0.08</v>
      </c>
      <c r="Q66" s="40">
        <v>0.08</v>
      </c>
      <c r="R66" s="16">
        <f t="shared" si="6"/>
        <v>547.22140861493517</v>
      </c>
      <c r="S66" s="16">
        <f t="shared" si="7"/>
        <v>221650</v>
      </c>
      <c r="T66" s="45">
        <f t="shared" si="8"/>
        <v>5.0883838383838382</v>
      </c>
      <c r="U66" s="40">
        <v>35</v>
      </c>
      <c r="V66" s="6" t="s">
        <v>55</v>
      </c>
      <c r="X66" t="s">
        <v>56</v>
      </c>
      <c r="Z66" s="7" t="s">
        <v>57</v>
      </c>
      <c r="AA66" t="s">
        <v>58</v>
      </c>
    </row>
    <row r="67" spans="1:27" x14ac:dyDescent="0.25">
      <c r="A67" t="s">
        <v>180</v>
      </c>
      <c r="B67" t="s">
        <v>181</v>
      </c>
      <c r="C67" s="26">
        <v>44887</v>
      </c>
      <c r="D67" s="16">
        <v>71000</v>
      </c>
      <c r="E67" t="s">
        <v>46</v>
      </c>
      <c r="F67" t="s">
        <v>47</v>
      </c>
      <c r="G67" s="16">
        <v>71000</v>
      </c>
      <c r="H67" s="16">
        <v>21000</v>
      </c>
      <c r="I67" s="21">
        <f t="shared" ref="I67:I98" si="9">H67/G67*100</f>
        <v>29.577464788732392</v>
      </c>
      <c r="J67" s="16">
        <v>57147</v>
      </c>
      <c r="K67" s="16">
        <f>G67-53057</f>
        <v>17943</v>
      </c>
      <c r="L67" s="16">
        <v>4090</v>
      </c>
      <c r="M67" s="50">
        <f t="shared" si="4"/>
        <v>5.76056338028169E-2</v>
      </c>
      <c r="N67" s="31">
        <v>31.464265000000001</v>
      </c>
      <c r="O67" s="35">
        <v>110</v>
      </c>
      <c r="P67" s="40">
        <v>7.5999999999999998E-2</v>
      </c>
      <c r="Q67" s="40">
        <v>7.5999999999999998E-2</v>
      </c>
      <c r="R67" s="16">
        <f t="shared" ref="R67:R98" si="10">K67/N67</f>
        <v>570.26598269497151</v>
      </c>
      <c r="S67" s="16">
        <f t="shared" ref="S67:S98" si="11">K67/P67</f>
        <v>236092.10526315789</v>
      </c>
      <c r="T67" s="45">
        <f t="shared" ref="T67:T98" si="12">K67/P67/43560</f>
        <v>5.4199289546179497</v>
      </c>
      <c r="U67" s="40">
        <v>30</v>
      </c>
      <c r="V67" s="6" t="s">
        <v>55</v>
      </c>
      <c r="X67" t="s">
        <v>56</v>
      </c>
      <c r="Z67" s="7" t="s">
        <v>57</v>
      </c>
      <c r="AA67" t="s">
        <v>58</v>
      </c>
    </row>
    <row r="68" spans="1:27" x14ac:dyDescent="0.25">
      <c r="A68" t="s">
        <v>140</v>
      </c>
      <c r="B68" t="s">
        <v>141</v>
      </c>
      <c r="C68" s="26">
        <v>44783</v>
      </c>
      <c r="D68" s="16">
        <v>46000</v>
      </c>
      <c r="E68" t="s">
        <v>46</v>
      </c>
      <c r="F68" t="s">
        <v>47</v>
      </c>
      <c r="G68" s="16">
        <v>46000</v>
      </c>
      <c r="H68" s="16">
        <v>11500</v>
      </c>
      <c r="I68" s="21">
        <f t="shared" si="9"/>
        <v>25</v>
      </c>
      <c r="J68" s="16">
        <v>31722</v>
      </c>
      <c r="K68" s="16">
        <f>G68-27822</f>
        <v>18178</v>
      </c>
      <c r="L68" s="16">
        <v>3900</v>
      </c>
      <c r="M68" s="50">
        <f t="shared" ref="M68:M116" si="13">L68/D68</f>
        <v>8.478260869565217E-2</v>
      </c>
      <c r="N68" s="31">
        <v>30</v>
      </c>
      <c r="O68" s="35">
        <v>100</v>
      </c>
      <c r="P68" s="40">
        <v>6.9000000000000006E-2</v>
      </c>
      <c r="Q68" s="40">
        <v>6.9000000000000006E-2</v>
      </c>
      <c r="R68" s="16">
        <f t="shared" si="10"/>
        <v>605.93333333333328</v>
      </c>
      <c r="S68" s="16">
        <f t="shared" si="11"/>
        <v>263449.27536231885</v>
      </c>
      <c r="T68" s="45">
        <f t="shared" si="12"/>
        <v>6.0479631625876689</v>
      </c>
      <c r="U68" s="40">
        <v>30</v>
      </c>
      <c r="V68" s="6" t="s">
        <v>55</v>
      </c>
      <c r="X68" t="s">
        <v>56</v>
      </c>
      <c r="Z68" s="7" t="s">
        <v>57</v>
      </c>
      <c r="AA68" t="s">
        <v>58</v>
      </c>
    </row>
    <row r="69" spans="1:27" x14ac:dyDescent="0.25">
      <c r="A69" t="s">
        <v>174</v>
      </c>
      <c r="B69" t="s">
        <v>175</v>
      </c>
      <c r="C69" s="26">
        <v>44379</v>
      </c>
      <c r="D69" s="16">
        <v>98500</v>
      </c>
      <c r="E69" t="s">
        <v>85</v>
      </c>
      <c r="F69" t="s">
        <v>135</v>
      </c>
      <c r="G69" s="16">
        <v>98500</v>
      </c>
      <c r="H69" s="16">
        <v>25500</v>
      </c>
      <c r="I69" s="21">
        <f t="shared" si="9"/>
        <v>25.888324873096447</v>
      </c>
      <c r="J69" s="16">
        <v>83496</v>
      </c>
      <c r="K69" s="16">
        <f>G69-79406</f>
        <v>19094</v>
      </c>
      <c r="L69" s="16">
        <v>4090</v>
      </c>
      <c r="M69" s="50">
        <f t="shared" si="13"/>
        <v>4.152284263959391E-2</v>
      </c>
      <c r="N69" s="31">
        <v>31.464265000000001</v>
      </c>
      <c r="O69" s="35">
        <v>110</v>
      </c>
      <c r="P69" s="40">
        <v>7.5999999999999998E-2</v>
      </c>
      <c r="Q69" s="40">
        <v>7.5999999999999998E-2</v>
      </c>
      <c r="R69" s="16">
        <f t="shared" si="10"/>
        <v>606.84716455318437</v>
      </c>
      <c r="S69" s="16">
        <f t="shared" si="11"/>
        <v>251236.84210526317</v>
      </c>
      <c r="T69" s="45">
        <f t="shared" si="12"/>
        <v>5.7676042723889616</v>
      </c>
      <c r="U69" s="40">
        <v>30</v>
      </c>
      <c r="V69" s="6" t="s">
        <v>55</v>
      </c>
      <c r="X69" t="s">
        <v>56</v>
      </c>
      <c r="Z69" s="7" t="s">
        <v>57</v>
      </c>
      <c r="AA69" t="s">
        <v>58</v>
      </c>
    </row>
    <row r="70" spans="1:27" x14ac:dyDescent="0.25">
      <c r="A70" t="s">
        <v>188</v>
      </c>
      <c r="B70" t="s">
        <v>189</v>
      </c>
      <c r="C70" s="26">
        <v>44987</v>
      </c>
      <c r="D70" s="16">
        <v>65000</v>
      </c>
      <c r="E70" t="s">
        <v>46</v>
      </c>
      <c r="F70" t="s">
        <v>47</v>
      </c>
      <c r="G70" s="16">
        <v>65000</v>
      </c>
      <c r="H70" s="16">
        <v>18400</v>
      </c>
      <c r="I70" s="21">
        <f t="shared" si="9"/>
        <v>28.307692307692307</v>
      </c>
      <c r="J70" s="16">
        <v>49512</v>
      </c>
      <c r="K70" s="16">
        <f>G70-45422</f>
        <v>19578</v>
      </c>
      <c r="L70" s="16">
        <v>4090</v>
      </c>
      <c r="M70" s="50">
        <f t="shared" si="13"/>
        <v>6.2923076923076929E-2</v>
      </c>
      <c r="N70" s="31">
        <v>31.464265000000001</v>
      </c>
      <c r="O70" s="35">
        <v>110</v>
      </c>
      <c r="P70" s="40">
        <v>7.5999999999999998E-2</v>
      </c>
      <c r="Q70" s="40">
        <v>7.5999999999999998E-2</v>
      </c>
      <c r="R70" s="16">
        <f t="shared" si="10"/>
        <v>622.2296945439532</v>
      </c>
      <c r="S70" s="16">
        <f t="shared" si="11"/>
        <v>257605.26315789475</v>
      </c>
      <c r="T70" s="45">
        <f t="shared" si="12"/>
        <v>5.913803102798318</v>
      </c>
      <c r="U70" s="40">
        <v>30</v>
      </c>
      <c r="V70" s="6" t="s">
        <v>55</v>
      </c>
      <c r="X70" t="s">
        <v>56</v>
      </c>
      <c r="Z70" s="7" t="s">
        <v>57</v>
      </c>
      <c r="AA70" t="s">
        <v>58</v>
      </c>
    </row>
    <row r="71" spans="1:27" x14ac:dyDescent="0.25">
      <c r="A71" t="s">
        <v>211</v>
      </c>
      <c r="B71" t="s">
        <v>212</v>
      </c>
      <c r="C71" s="26">
        <v>44295</v>
      </c>
      <c r="D71" s="16">
        <v>60000</v>
      </c>
      <c r="E71" t="s">
        <v>61</v>
      </c>
      <c r="F71" t="s">
        <v>47</v>
      </c>
      <c r="G71" s="16">
        <v>60000</v>
      </c>
      <c r="H71" s="16">
        <v>13600</v>
      </c>
      <c r="I71" s="21">
        <f t="shared" si="9"/>
        <v>22.666666666666664</v>
      </c>
      <c r="J71" s="16">
        <v>45201</v>
      </c>
      <c r="K71" s="16">
        <f>G71-41301</f>
        <v>18699</v>
      </c>
      <c r="L71" s="16">
        <v>3900</v>
      </c>
      <c r="M71" s="50">
        <f t="shared" si="13"/>
        <v>6.5000000000000002E-2</v>
      </c>
      <c r="N71" s="31">
        <v>30</v>
      </c>
      <c r="O71" s="35">
        <v>100</v>
      </c>
      <c r="P71" s="40">
        <v>6.9000000000000006E-2</v>
      </c>
      <c r="Q71" s="40">
        <v>6.9000000000000006E-2</v>
      </c>
      <c r="R71" s="16">
        <f t="shared" si="10"/>
        <v>623.29999999999995</v>
      </c>
      <c r="S71" s="16">
        <f t="shared" si="11"/>
        <v>271000</v>
      </c>
      <c r="T71" s="45">
        <f t="shared" si="12"/>
        <v>6.2213039485766757</v>
      </c>
      <c r="U71" s="40">
        <v>30</v>
      </c>
      <c r="V71" s="6" t="s">
        <v>55</v>
      </c>
      <c r="X71" t="s">
        <v>56</v>
      </c>
      <c r="Z71" s="7" t="s">
        <v>57</v>
      </c>
      <c r="AA71" t="s">
        <v>58</v>
      </c>
    </row>
    <row r="72" spans="1:27" x14ac:dyDescent="0.25">
      <c r="A72" t="s">
        <v>95</v>
      </c>
      <c r="B72" t="s">
        <v>96</v>
      </c>
      <c r="C72" s="26">
        <v>44756</v>
      </c>
      <c r="D72" s="16">
        <v>72000</v>
      </c>
      <c r="E72" t="s">
        <v>46</v>
      </c>
      <c r="F72" t="s">
        <v>47</v>
      </c>
      <c r="G72" s="16">
        <v>72000</v>
      </c>
      <c r="H72" s="16">
        <v>19900</v>
      </c>
      <c r="I72" s="21">
        <f t="shared" si="9"/>
        <v>27.638888888888889</v>
      </c>
      <c r="J72" s="16">
        <v>55709</v>
      </c>
      <c r="K72" s="16">
        <f>G72-51616</f>
        <v>20384</v>
      </c>
      <c r="L72" s="16">
        <v>4093</v>
      </c>
      <c r="M72" s="50">
        <f t="shared" si="13"/>
        <v>5.6847222222222223E-2</v>
      </c>
      <c r="N72" s="31">
        <v>31.485710999999998</v>
      </c>
      <c r="O72" s="35">
        <v>110.150002</v>
      </c>
      <c r="P72" s="40">
        <v>7.5999999999999998E-2</v>
      </c>
      <c r="Q72" s="40">
        <v>7.5999999999999998E-2</v>
      </c>
      <c r="R72" s="16">
        <f t="shared" si="10"/>
        <v>647.40478625367552</v>
      </c>
      <c r="S72" s="16">
        <f t="shared" si="11"/>
        <v>268210.5263157895</v>
      </c>
      <c r="T72" s="45">
        <f t="shared" si="12"/>
        <v>6.1572664443477843</v>
      </c>
      <c r="U72" s="40">
        <v>30</v>
      </c>
      <c r="V72" s="6" t="s">
        <v>55</v>
      </c>
      <c r="X72" t="s">
        <v>56</v>
      </c>
      <c r="Z72" s="7" t="s">
        <v>57</v>
      </c>
      <c r="AA72" t="s">
        <v>58</v>
      </c>
    </row>
    <row r="73" spans="1:27" x14ac:dyDescent="0.25">
      <c r="A73" t="s">
        <v>286</v>
      </c>
      <c r="B73" t="s">
        <v>287</v>
      </c>
      <c r="C73" s="26">
        <v>44712</v>
      </c>
      <c r="D73" s="16">
        <v>68000</v>
      </c>
      <c r="E73" t="s">
        <v>46</v>
      </c>
      <c r="F73" t="s">
        <v>47</v>
      </c>
      <c r="G73" s="16">
        <v>68000</v>
      </c>
      <c r="H73" s="16">
        <v>18000</v>
      </c>
      <c r="I73" s="21">
        <f t="shared" si="9"/>
        <v>26.47058823529412</v>
      </c>
      <c r="J73" s="16">
        <v>48625</v>
      </c>
      <c r="K73" s="16">
        <f>G73-43902</f>
        <v>24098</v>
      </c>
      <c r="L73" s="16">
        <v>4723</v>
      </c>
      <c r="M73" s="50">
        <f t="shared" si="13"/>
        <v>6.9455882352941173E-2</v>
      </c>
      <c r="N73" s="31">
        <v>36.331803999999998</v>
      </c>
      <c r="O73" s="35">
        <v>110</v>
      </c>
      <c r="P73" s="40">
        <v>0.10100000000000001</v>
      </c>
      <c r="Q73" s="40">
        <v>0.10100000000000001</v>
      </c>
      <c r="R73" s="16">
        <f t="shared" si="10"/>
        <v>663.27562484923681</v>
      </c>
      <c r="S73" s="16">
        <f t="shared" si="11"/>
        <v>238594.05940594058</v>
      </c>
      <c r="T73" s="45">
        <f t="shared" si="12"/>
        <v>5.4773659184100225</v>
      </c>
      <c r="U73" s="40">
        <v>40</v>
      </c>
      <c r="V73" s="6" t="s">
        <v>55</v>
      </c>
      <c r="X73" t="s">
        <v>56</v>
      </c>
      <c r="Z73" s="7" t="s">
        <v>57</v>
      </c>
      <c r="AA73" t="s">
        <v>58</v>
      </c>
    </row>
    <row r="74" spans="1:27" x14ac:dyDescent="0.25">
      <c r="A74" t="s">
        <v>230</v>
      </c>
      <c r="B74" t="s">
        <v>231</v>
      </c>
      <c r="C74" s="26">
        <v>44732</v>
      </c>
      <c r="D74" s="16">
        <v>98000</v>
      </c>
      <c r="E74" t="s">
        <v>46</v>
      </c>
      <c r="F74" t="s">
        <v>47</v>
      </c>
      <c r="G74" s="16">
        <v>98000</v>
      </c>
      <c r="H74" s="16">
        <v>30400</v>
      </c>
      <c r="I74" s="21">
        <f t="shared" si="9"/>
        <v>31.020408163265305</v>
      </c>
      <c r="J74" s="16">
        <v>81672</v>
      </c>
      <c r="K74" s="16">
        <f>G74-77772</f>
        <v>20228</v>
      </c>
      <c r="L74" s="16">
        <v>3900</v>
      </c>
      <c r="M74" s="50">
        <f t="shared" si="13"/>
        <v>3.9795918367346937E-2</v>
      </c>
      <c r="N74" s="31">
        <v>30</v>
      </c>
      <c r="O74" s="35">
        <v>100</v>
      </c>
      <c r="P74" s="40">
        <v>6.9000000000000006E-2</v>
      </c>
      <c r="Q74" s="40">
        <v>6.9000000000000006E-2</v>
      </c>
      <c r="R74" s="16">
        <f t="shared" si="10"/>
        <v>674.26666666666665</v>
      </c>
      <c r="S74" s="16">
        <f t="shared" si="11"/>
        <v>293159.42028985504</v>
      </c>
      <c r="T74" s="45">
        <f t="shared" si="12"/>
        <v>6.7300142398956622</v>
      </c>
      <c r="U74" s="40">
        <v>30</v>
      </c>
      <c r="V74" s="6" t="s">
        <v>55</v>
      </c>
      <c r="X74" t="s">
        <v>56</v>
      </c>
      <c r="Z74" s="7" t="s">
        <v>57</v>
      </c>
      <c r="AA74" t="s">
        <v>58</v>
      </c>
    </row>
    <row r="75" spans="1:27" x14ac:dyDescent="0.25">
      <c r="A75" t="s">
        <v>319</v>
      </c>
      <c r="B75" t="s">
        <v>320</v>
      </c>
      <c r="C75" s="26">
        <v>44725</v>
      </c>
      <c r="D75" s="16">
        <v>60000</v>
      </c>
      <c r="E75" t="s">
        <v>46</v>
      </c>
      <c r="F75" t="s">
        <v>47</v>
      </c>
      <c r="G75" s="16">
        <v>60000</v>
      </c>
      <c r="H75" s="16">
        <v>13400</v>
      </c>
      <c r="I75" s="21">
        <f t="shared" si="9"/>
        <v>22.333333333333332</v>
      </c>
      <c r="J75" s="16">
        <v>35732</v>
      </c>
      <c r="K75" s="16">
        <f>G75-29963</f>
        <v>30037</v>
      </c>
      <c r="L75" s="16">
        <v>5769</v>
      </c>
      <c r="M75" s="50">
        <f t="shared" si="13"/>
        <v>9.6149999999999999E-2</v>
      </c>
      <c r="N75" s="31">
        <v>44.375669000000002</v>
      </c>
      <c r="O75" s="35">
        <v>109.400002</v>
      </c>
      <c r="P75" s="40">
        <v>0.151</v>
      </c>
      <c r="Q75" s="40">
        <v>0.151</v>
      </c>
      <c r="R75" s="16">
        <f t="shared" si="10"/>
        <v>676.87993616501865</v>
      </c>
      <c r="S75" s="16">
        <f t="shared" si="11"/>
        <v>198920.5298013245</v>
      </c>
      <c r="T75" s="45">
        <f t="shared" si="12"/>
        <v>4.5665870018669539</v>
      </c>
      <c r="U75" s="40">
        <v>60</v>
      </c>
      <c r="V75" s="6" t="s">
        <v>55</v>
      </c>
      <c r="X75" t="s">
        <v>56</v>
      </c>
      <c r="Z75" s="7" t="s">
        <v>57</v>
      </c>
      <c r="AA75" t="s">
        <v>58</v>
      </c>
    </row>
    <row r="76" spans="1:27" x14ac:dyDescent="0.25">
      <c r="A76" t="s">
        <v>317</v>
      </c>
      <c r="B76" t="s">
        <v>318</v>
      </c>
      <c r="C76" s="26">
        <v>44407</v>
      </c>
      <c r="D76" s="16">
        <v>78400</v>
      </c>
      <c r="E76" t="s">
        <v>46</v>
      </c>
      <c r="F76" t="s">
        <v>47</v>
      </c>
      <c r="G76" s="16">
        <v>78400</v>
      </c>
      <c r="H76" s="16">
        <v>16800</v>
      </c>
      <c r="I76" s="21">
        <f t="shared" si="9"/>
        <v>21.428571428571427</v>
      </c>
      <c r="J76" s="16">
        <v>53263</v>
      </c>
      <c r="K76" s="16">
        <f>G76-47494</f>
        <v>30906</v>
      </c>
      <c r="L76" s="16">
        <v>5769</v>
      </c>
      <c r="M76" s="50">
        <f t="shared" si="13"/>
        <v>7.3584183673469389E-2</v>
      </c>
      <c r="N76" s="31">
        <v>44.375669000000002</v>
      </c>
      <c r="O76" s="35">
        <v>109.400002</v>
      </c>
      <c r="P76" s="40">
        <v>0.151</v>
      </c>
      <c r="Q76" s="40">
        <v>0.151</v>
      </c>
      <c r="R76" s="16">
        <f t="shared" si="10"/>
        <v>696.46273952512126</v>
      </c>
      <c r="S76" s="16">
        <f t="shared" si="11"/>
        <v>204675.49668874172</v>
      </c>
      <c r="T76" s="45">
        <f t="shared" si="12"/>
        <v>4.6987028624596352</v>
      </c>
      <c r="U76" s="40">
        <v>60</v>
      </c>
      <c r="V76" s="6" t="s">
        <v>55</v>
      </c>
      <c r="X76" t="s">
        <v>56</v>
      </c>
      <c r="Z76" s="7" t="s">
        <v>57</v>
      </c>
      <c r="AA76" t="s">
        <v>58</v>
      </c>
    </row>
    <row r="77" spans="1:27" x14ac:dyDescent="0.25">
      <c r="A77" t="s">
        <v>298</v>
      </c>
      <c r="B77" t="s">
        <v>299</v>
      </c>
      <c r="C77" s="26">
        <v>44440</v>
      </c>
      <c r="D77" s="16">
        <v>89000</v>
      </c>
      <c r="E77" t="s">
        <v>46</v>
      </c>
      <c r="F77" t="s">
        <v>135</v>
      </c>
      <c r="G77" s="16">
        <v>89000</v>
      </c>
      <c r="H77" s="16">
        <v>19600</v>
      </c>
      <c r="I77" s="21">
        <f t="shared" si="9"/>
        <v>22.022471910112358</v>
      </c>
      <c r="J77" s="16">
        <v>62113</v>
      </c>
      <c r="K77" s="16">
        <f>G77-55947</f>
        <v>33053</v>
      </c>
      <c r="L77" s="16">
        <v>6166</v>
      </c>
      <c r="M77" s="50">
        <f t="shared" si="13"/>
        <v>6.9280898876404498E-2</v>
      </c>
      <c r="N77" s="31">
        <v>47.434165</v>
      </c>
      <c r="O77" s="35">
        <v>100</v>
      </c>
      <c r="P77" s="40">
        <v>0.17199999999999999</v>
      </c>
      <c r="Q77" s="40">
        <v>0.17199999999999999</v>
      </c>
      <c r="R77" s="16">
        <f t="shared" si="10"/>
        <v>696.818421911717</v>
      </c>
      <c r="S77" s="16">
        <f t="shared" si="11"/>
        <v>192168.60465116281</v>
      </c>
      <c r="T77" s="45">
        <f t="shared" si="12"/>
        <v>4.4115841288145736</v>
      </c>
      <c r="U77" s="40">
        <v>75</v>
      </c>
      <c r="V77" s="6" t="s">
        <v>55</v>
      </c>
      <c r="X77" t="s">
        <v>56</v>
      </c>
      <c r="Z77" s="7" t="s">
        <v>57</v>
      </c>
      <c r="AA77" t="s">
        <v>58</v>
      </c>
    </row>
    <row r="78" spans="1:27" x14ac:dyDescent="0.25">
      <c r="A78" t="s">
        <v>244</v>
      </c>
      <c r="B78" t="s">
        <v>245</v>
      </c>
      <c r="C78" s="26">
        <v>44680</v>
      </c>
      <c r="D78" s="16">
        <v>70000</v>
      </c>
      <c r="E78" t="s">
        <v>46</v>
      </c>
      <c r="F78" t="s">
        <v>64</v>
      </c>
      <c r="G78" s="16">
        <v>70000</v>
      </c>
      <c r="H78" s="16">
        <v>13600</v>
      </c>
      <c r="I78" s="21">
        <f t="shared" si="9"/>
        <v>19.428571428571427</v>
      </c>
      <c r="J78" s="16">
        <v>36705</v>
      </c>
      <c r="K78" s="16">
        <f>G78-29285</f>
        <v>40715</v>
      </c>
      <c r="L78" s="16">
        <v>7420</v>
      </c>
      <c r="M78" s="50">
        <f t="shared" si="13"/>
        <v>0.106</v>
      </c>
      <c r="N78" s="31">
        <v>57.077666000000001</v>
      </c>
      <c r="O78" s="35">
        <v>200</v>
      </c>
      <c r="P78" s="40">
        <v>0.125</v>
      </c>
      <c r="Q78" s="40">
        <v>5.6000000000000001E-2</v>
      </c>
      <c r="R78" s="16">
        <f t="shared" si="10"/>
        <v>713.32629473671886</v>
      </c>
      <c r="S78" s="16">
        <f t="shared" si="11"/>
        <v>325720</v>
      </c>
      <c r="T78" s="45">
        <f t="shared" si="12"/>
        <v>7.477502295684114</v>
      </c>
      <c r="U78" s="40">
        <v>54.44</v>
      </c>
      <c r="V78" s="6" t="s">
        <v>55</v>
      </c>
      <c r="W78" t="s">
        <v>246</v>
      </c>
      <c r="X78" t="s">
        <v>56</v>
      </c>
      <c r="Z78" s="7" t="s">
        <v>57</v>
      </c>
      <c r="AA78" t="s">
        <v>58</v>
      </c>
    </row>
    <row r="79" spans="1:27" x14ac:dyDescent="0.25">
      <c r="A79" t="s">
        <v>170</v>
      </c>
      <c r="B79" t="s">
        <v>171</v>
      </c>
      <c r="C79" s="26">
        <v>44635</v>
      </c>
      <c r="D79" s="16">
        <v>68000</v>
      </c>
      <c r="E79" t="s">
        <v>46</v>
      </c>
      <c r="F79" t="s">
        <v>47</v>
      </c>
      <c r="G79" s="16">
        <v>68000</v>
      </c>
      <c r="H79" s="16">
        <v>16400</v>
      </c>
      <c r="I79" s="21">
        <f t="shared" si="9"/>
        <v>24.117647058823529</v>
      </c>
      <c r="J79" s="16">
        <v>52034</v>
      </c>
      <c r="K79" s="16">
        <f>G79-48672</f>
        <v>19328</v>
      </c>
      <c r="L79" s="16">
        <v>3362</v>
      </c>
      <c r="M79" s="50">
        <f t="shared" si="13"/>
        <v>4.9441176470588238E-2</v>
      </c>
      <c r="N79" s="31">
        <v>25.865034000000001</v>
      </c>
      <c r="O79" s="35">
        <v>100</v>
      </c>
      <c r="P79" s="40">
        <v>5.0999999999999997E-2</v>
      </c>
      <c r="Q79" s="40">
        <v>5.0999999999999997E-2</v>
      </c>
      <c r="R79" s="16">
        <f t="shared" si="10"/>
        <v>747.26366104912131</v>
      </c>
      <c r="S79" s="16">
        <f t="shared" si="11"/>
        <v>378980.39215686277</v>
      </c>
      <c r="T79" s="45">
        <f t="shared" si="12"/>
        <v>8.7001926574119093</v>
      </c>
      <c r="U79" s="40">
        <v>22.3</v>
      </c>
      <c r="V79" s="6" t="s">
        <v>55</v>
      </c>
      <c r="X79" t="s">
        <v>56</v>
      </c>
      <c r="Z79" s="7" t="s">
        <v>57</v>
      </c>
      <c r="AA79" t="s">
        <v>58</v>
      </c>
    </row>
    <row r="80" spans="1:27" x14ac:dyDescent="0.25">
      <c r="A80" t="s">
        <v>130</v>
      </c>
      <c r="B80" t="s">
        <v>131</v>
      </c>
      <c r="C80" s="26">
        <v>44588</v>
      </c>
      <c r="D80" s="16">
        <v>120000</v>
      </c>
      <c r="E80" t="s">
        <v>46</v>
      </c>
      <c r="F80" t="s">
        <v>64</v>
      </c>
      <c r="G80" s="16">
        <v>120000</v>
      </c>
      <c r="H80" s="16">
        <v>23000</v>
      </c>
      <c r="I80" s="21">
        <f t="shared" si="9"/>
        <v>19.166666666666668</v>
      </c>
      <c r="J80" s="16">
        <v>71548</v>
      </c>
      <c r="K80" s="16">
        <f>G80-61994</f>
        <v>58006</v>
      </c>
      <c r="L80" s="16">
        <v>9554</v>
      </c>
      <c r="M80" s="50">
        <f t="shared" si="13"/>
        <v>7.9616666666666669E-2</v>
      </c>
      <c r="N80" s="31">
        <v>73.484691999999995</v>
      </c>
      <c r="O80" s="35">
        <v>200</v>
      </c>
      <c r="P80" s="40">
        <v>0.20599999999999999</v>
      </c>
      <c r="Q80" s="40">
        <v>0.10299999999999999</v>
      </c>
      <c r="R80" s="16">
        <f t="shared" si="10"/>
        <v>789.36168093349295</v>
      </c>
      <c r="S80" s="16">
        <f t="shared" si="11"/>
        <v>281582.52427184465</v>
      </c>
      <c r="T80" s="45">
        <f t="shared" si="12"/>
        <v>6.4642452771314201</v>
      </c>
      <c r="U80" s="40">
        <v>90</v>
      </c>
      <c r="V80" s="6" t="s">
        <v>55</v>
      </c>
      <c r="W80" t="s">
        <v>132</v>
      </c>
      <c r="X80" t="s">
        <v>56</v>
      </c>
      <c r="Z80" s="7" t="s">
        <v>57</v>
      </c>
      <c r="AA80" t="s">
        <v>58</v>
      </c>
    </row>
    <row r="81" spans="1:27" x14ac:dyDescent="0.25">
      <c r="A81" t="s">
        <v>68</v>
      </c>
      <c r="B81" t="s">
        <v>69</v>
      </c>
      <c r="C81" s="26">
        <v>44358</v>
      </c>
      <c r="D81" s="16">
        <v>79900</v>
      </c>
      <c r="E81" t="s">
        <v>46</v>
      </c>
      <c r="F81" t="s">
        <v>47</v>
      </c>
      <c r="G81" s="16">
        <v>79900</v>
      </c>
      <c r="H81" s="16">
        <v>16200</v>
      </c>
      <c r="I81" s="21">
        <f t="shared" si="9"/>
        <v>20.275344180225282</v>
      </c>
      <c r="J81" s="16">
        <v>50872</v>
      </c>
      <c r="K81" s="16">
        <f>G81-45209</f>
        <v>34691</v>
      </c>
      <c r="L81" s="16">
        <v>5663</v>
      </c>
      <c r="M81" s="50">
        <f t="shared" si="13"/>
        <v>7.0876095118898627E-2</v>
      </c>
      <c r="N81" s="31">
        <v>43.564779000000001</v>
      </c>
      <c r="O81" s="35">
        <v>102.5</v>
      </c>
      <c r="P81" s="40">
        <v>0.14499999999999999</v>
      </c>
      <c r="Q81" s="40">
        <v>0.14499999999999999</v>
      </c>
      <c r="R81" s="16">
        <f t="shared" si="10"/>
        <v>796.30841235301568</v>
      </c>
      <c r="S81" s="16">
        <f t="shared" si="11"/>
        <v>239248.27586206899</v>
      </c>
      <c r="T81" s="45">
        <f t="shared" si="12"/>
        <v>5.4923846616636594</v>
      </c>
      <c r="U81" s="40">
        <v>61.72</v>
      </c>
      <c r="V81" s="6" t="s">
        <v>55</v>
      </c>
      <c r="X81" t="s">
        <v>56</v>
      </c>
      <c r="Z81" s="7" t="s">
        <v>57</v>
      </c>
      <c r="AA81" t="s">
        <v>58</v>
      </c>
    </row>
    <row r="82" spans="1:27" x14ac:dyDescent="0.25">
      <c r="A82" t="s">
        <v>304</v>
      </c>
      <c r="B82" t="s">
        <v>305</v>
      </c>
      <c r="C82" s="26">
        <v>44971</v>
      </c>
      <c r="D82" s="16">
        <v>135000</v>
      </c>
      <c r="E82" t="s">
        <v>46</v>
      </c>
      <c r="F82" t="s">
        <v>47</v>
      </c>
      <c r="G82" s="16">
        <v>135000</v>
      </c>
      <c r="H82" s="16">
        <v>34300</v>
      </c>
      <c r="I82" s="21">
        <f t="shared" si="9"/>
        <v>25.407407407407405</v>
      </c>
      <c r="J82" s="16">
        <v>93961</v>
      </c>
      <c r="K82" s="16">
        <f>G82-86161</f>
        <v>48839</v>
      </c>
      <c r="L82" s="16">
        <v>7800</v>
      </c>
      <c r="M82" s="50">
        <f t="shared" si="13"/>
        <v>5.7777777777777775E-2</v>
      </c>
      <c r="N82" s="31">
        <v>60</v>
      </c>
      <c r="O82" s="35">
        <v>200</v>
      </c>
      <c r="P82" s="40">
        <v>0.13800000000000001</v>
      </c>
      <c r="Q82" s="40">
        <v>6.9000000000000006E-2</v>
      </c>
      <c r="R82" s="16">
        <f t="shared" si="10"/>
        <v>813.98333333333335</v>
      </c>
      <c r="S82" s="16">
        <f t="shared" si="11"/>
        <v>353905.79710144922</v>
      </c>
      <c r="T82" s="45">
        <f t="shared" si="12"/>
        <v>8.124559162108568</v>
      </c>
      <c r="U82" s="40">
        <v>60</v>
      </c>
      <c r="V82" s="6" t="s">
        <v>55</v>
      </c>
      <c r="W82" t="s">
        <v>306</v>
      </c>
      <c r="X82" t="s">
        <v>56</v>
      </c>
      <c r="Z82" s="7" t="s">
        <v>57</v>
      </c>
      <c r="AA82" t="s">
        <v>58</v>
      </c>
    </row>
    <row r="83" spans="1:27" x14ac:dyDescent="0.25">
      <c r="A83" t="s">
        <v>236</v>
      </c>
      <c r="B83" t="s">
        <v>237</v>
      </c>
      <c r="C83" s="26">
        <v>44369</v>
      </c>
      <c r="D83" s="16">
        <v>90000</v>
      </c>
      <c r="E83" t="s">
        <v>61</v>
      </c>
      <c r="F83" t="s">
        <v>47</v>
      </c>
      <c r="G83" s="16">
        <v>90000</v>
      </c>
      <c r="H83" s="16">
        <v>21200</v>
      </c>
      <c r="I83" s="21">
        <f t="shared" si="9"/>
        <v>23.555555555555554</v>
      </c>
      <c r="J83" s="16">
        <v>67522</v>
      </c>
      <c r="K83" s="16">
        <f>G83-63310</f>
        <v>26690</v>
      </c>
      <c r="L83" s="16">
        <v>4212</v>
      </c>
      <c r="M83" s="50">
        <f t="shared" si="13"/>
        <v>4.6800000000000001E-2</v>
      </c>
      <c r="N83" s="31">
        <v>32.403703</v>
      </c>
      <c r="O83" s="35">
        <v>100</v>
      </c>
      <c r="P83" s="40">
        <v>0.08</v>
      </c>
      <c r="Q83" s="40">
        <v>0.08</v>
      </c>
      <c r="R83" s="16">
        <f t="shared" si="10"/>
        <v>823.67129460481726</v>
      </c>
      <c r="S83" s="16">
        <f t="shared" si="11"/>
        <v>333625</v>
      </c>
      <c r="T83" s="45">
        <f t="shared" si="12"/>
        <v>7.658976124885216</v>
      </c>
      <c r="U83" s="40">
        <v>35</v>
      </c>
      <c r="V83" s="6" t="s">
        <v>55</v>
      </c>
      <c r="X83" t="s">
        <v>56</v>
      </c>
      <c r="Z83" s="7" t="s">
        <v>57</v>
      </c>
      <c r="AA83" t="s">
        <v>58</v>
      </c>
    </row>
    <row r="84" spans="1:27" x14ac:dyDescent="0.25">
      <c r="A84" t="s">
        <v>309</v>
      </c>
      <c r="B84" t="s">
        <v>310</v>
      </c>
      <c r="C84" s="26">
        <v>44588</v>
      </c>
      <c r="D84" s="16">
        <v>75000</v>
      </c>
      <c r="E84" t="s">
        <v>46</v>
      </c>
      <c r="F84" t="s">
        <v>47</v>
      </c>
      <c r="G84" s="16">
        <v>75000</v>
      </c>
      <c r="H84" s="16">
        <v>15400</v>
      </c>
      <c r="I84" s="21">
        <f t="shared" si="9"/>
        <v>20.533333333333335</v>
      </c>
      <c r="J84" s="16">
        <v>48794</v>
      </c>
      <c r="K84" s="16">
        <f>G84-43953</f>
        <v>31047</v>
      </c>
      <c r="L84" s="16">
        <v>4841</v>
      </c>
      <c r="M84" s="50">
        <f t="shared" si="13"/>
        <v>6.4546666666666669E-2</v>
      </c>
      <c r="N84" s="31">
        <v>37.235788999999997</v>
      </c>
      <c r="O84" s="35">
        <v>110.040001</v>
      </c>
      <c r="P84" s="40">
        <v>0.106</v>
      </c>
      <c r="Q84" s="40">
        <v>0.106</v>
      </c>
      <c r="R84" s="16">
        <f t="shared" si="10"/>
        <v>833.79460550708359</v>
      </c>
      <c r="S84" s="16">
        <f t="shared" si="11"/>
        <v>292896.22641509434</v>
      </c>
      <c r="T84" s="45">
        <f t="shared" si="12"/>
        <v>6.7239721399241121</v>
      </c>
      <c r="U84" s="40">
        <v>42</v>
      </c>
      <c r="V84" s="6" t="s">
        <v>55</v>
      </c>
      <c r="X84" t="s">
        <v>56</v>
      </c>
      <c r="Z84" s="7" t="s">
        <v>57</v>
      </c>
      <c r="AA84" t="s">
        <v>58</v>
      </c>
    </row>
    <row r="85" spans="1:27" x14ac:dyDescent="0.25">
      <c r="A85" t="s">
        <v>207</v>
      </c>
      <c r="B85" t="s">
        <v>208</v>
      </c>
      <c r="C85" s="26">
        <v>44533</v>
      </c>
      <c r="D85" s="16">
        <v>102900</v>
      </c>
      <c r="E85" t="s">
        <v>46</v>
      </c>
      <c r="F85" t="s">
        <v>47</v>
      </c>
      <c r="G85" s="16">
        <v>102900</v>
      </c>
      <c r="H85" s="16">
        <v>25600</v>
      </c>
      <c r="I85" s="21">
        <f t="shared" si="9"/>
        <v>24.878522837706509</v>
      </c>
      <c r="J85" s="16">
        <v>81080</v>
      </c>
      <c r="K85" s="16">
        <f>G85-77180</f>
        <v>25720</v>
      </c>
      <c r="L85" s="16">
        <v>3900</v>
      </c>
      <c r="M85" s="50">
        <f t="shared" si="13"/>
        <v>3.7900874635568516E-2</v>
      </c>
      <c r="N85" s="31">
        <v>30</v>
      </c>
      <c r="O85" s="35">
        <v>100</v>
      </c>
      <c r="P85" s="40">
        <v>6.9000000000000006E-2</v>
      </c>
      <c r="Q85" s="40">
        <v>6.9000000000000006E-2</v>
      </c>
      <c r="R85" s="16">
        <f t="shared" si="10"/>
        <v>857.33333333333337</v>
      </c>
      <c r="S85" s="16">
        <f t="shared" si="11"/>
        <v>372753.62318840576</v>
      </c>
      <c r="T85" s="45">
        <f t="shared" si="12"/>
        <v>8.5572457113959075</v>
      </c>
      <c r="U85" s="40">
        <v>30</v>
      </c>
      <c r="V85" s="6" t="s">
        <v>55</v>
      </c>
      <c r="X85" t="s">
        <v>56</v>
      </c>
      <c r="Z85" s="7" t="s">
        <v>57</v>
      </c>
      <c r="AA85" t="s">
        <v>58</v>
      </c>
    </row>
    <row r="86" spans="1:27" x14ac:dyDescent="0.25">
      <c r="A86" t="s">
        <v>311</v>
      </c>
      <c r="B86" t="s">
        <v>312</v>
      </c>
      <c r="C86" s="26">
        <v>44677</v>
      </c>
      <c r="D86" s="16">
        <v>77000</v>
      </c>
      <c r="E86" t="s">
        <v>46</v>
      </c>
      <c r="F86" t="s">
        <v>47</v>
      </c>
      <c r="G86" s="16">
        <v>77000</v>
      </c>
      <c r="H86" s="16">
        <v>16700</v>
      </c>
      <c r="I86" s="21">
        <f t="shared" si="9"/>
        <v>21.688311688311686</v>
      </c>
      <c r="J86" s="16">
        <v>44606</v>
      </c>
      <c r="K86" s="16">
        <f>G86-38820</f>
        <v>38180</v>
      </c>
      <c r="L86" s="16">
        <v>5786</v>
      </c>
      <c r="M86" s="50">
        <f t="shared" si="13"/>
        <v>7.5142857142857136E-2</v>
      </c>
      <c r="N86" s="31">
        <v>44.505280999999997</v>
      </c>
      <c r="O86" s="35">
        <v>110.040001</v>
      </c>
      <c r="P86" s="40">
        <v>0.152</v>
      </c>
      <c r="Q86" s="40">
        <v>0.152</v>
      </c>
      <c r="R86" s="16">
        <f t="shared" si="10"/>
        <v>857.87572041169688</v>
      </c>
      <c r="S86" s="16">
        <f t="shared" si="11"/>
        <v>251184.21052631579</v>
      </c>
      <c r="T86" s="45">
        <f t="shared" si="12"/>
        <v>5.7663960175921893</v>
      </c>
      <c r="U86" s="40">
        <v>60</v>
      </c>
      <c r="V86" s="6" t="s">
        <v>55</v>
      </c>
      <c r="X86" t="s">
        <v>56</v>
      </c>
      <c r="Z86" s="7" t="s">
        <v>57</v>
      </c>
      <c r="AA86" t="s">
        <v>58</v>
      </c>
    </row>
    <row r="87" spans="1:27" x14ac:dyDescent="0.25">
      <c r="A87" t="s">
        <v>74</v>
      </c>
      <c r="B87" t="s">
        <v>75</v>
      </c>
      <c r="C87" s="26">
        <v>44634</v>
      </c>
      <c r="D87" s="16">
        <v>67000</v>
      </c>
      <c r="E87" t="s">
        <v>61</v>
      </c>
      <c r="F87" t="s">
        <v>47</v>
      </c>
      <c r="G87" s="16">
        <v>67000</v>
      </c>
      <c r="H87" s="16">
        <v>13500</v>
      </c>
      <c r="I87" s="21">
        <f t="shared" si="9"/>
        <v>20.149253731343283</v>
      </c>
      <c r="J87" s="16">
        <v>44951</v>
      </c>
      <c r="K87" s="16">
        <f>G87-41285</f>
        <v>25715</v>
      </c>
      <c r="L87" s="16">
        <v>3666</v>
      </c>
      <c r="M87" s="50">
        <f t="shared" si="13"/>
        <v>5.4716417910447762E-2</v>
      </c>
      <c r="N87" s="31">
        <v>28.2</v>
      </c>
      <c r="O87" s="35">
        <v>88.360000999999997</v>
      </c>
      <c r="P87" s="40">
        <v>6.0999999999999999E-2</v>
      </c>
      <c r="Q87" s="40">
        <v>6.0999999999999999E-2</v>
      </c>
      <c r="R87" s="16">
        <f t="shared" si="10"/>
        <v>911.87943262411352</v>
      </c>
      <c r="S87" s="16">
        <f t="shared" si="11"/>
        <v>421557.37704918033</v>
      </c>
      <c r="T87" s="45">
        <f t="shared" si="12"/>
        <v>9.6776257357479416</v>
      </c>
      <c r="U87" s="40">
        <v>30</v>
      </c>
      <c r="V87" s="6" t="s">
        <v>55</v>
      </c>
      <c r="X87" t="s">
        <v>56</v>
      </c>
      <c r="Z87" s="7" t="s">
        <v>57</v>
      </c>
      <c r="AA87" t="s">
        <v>58</v>
      </c>
    </row>
    <row r="88" spans="1:27" x14ac:dyDescent="0.25">
      <c r="A88" t="s">
        <v>238</v>
      </c>
      <c r="B88" t="s">
        <v>239</v>
      </c>
      <c r="C88" s="26">
        <v>44967</v>
      </c>
      <c r="D88" s="16">
        <v>115000</v>
      </c>
      <c r="E88" t="s">
        <v>61</v>
      </c>
      <c r="F88" t="s">
        <v>47</v>
      </c>
      <c r="G88" s="16">
        <v>115000</v>
      </c>
      <c r="H88" s="16">
        <v>31200</v>
      </c>
      <c r="I88" s="21">
        <f t="shared" si="9"/>
        <v>27.130434782608699</v>
      </c>
      <c r="J88" s="16">
        <v>87165</v>
      </c>
      <c r="K88" s="16">
        <f>G88-82662</f>
        <v>32338</v>
      </c>
      <c r="L88" s="16">
        <v>4503</v>
      </c>
      <c r="M88" s="50">
        <f t="shared" si="13"/>
        <v>3.9156521739130437E-2</v>
      </c>
      <c r="N88" s="31">
        <v>34.641016</v>
      </c>
      <c r="O88" s="35">
        <v>100</v>
      </c>
      <c r="P88" s="40">
        <v>9.1999999999999998E-2</v>
      </c>
      <c r="Q88" s="40">
        <v>9.1999999999999998E-2</v>
      </c>
      <c r="R88" s="16">
        <f t="shared" si="10"/>
        <v>933.51765433207845</v>
      </c>
      <c r="S88" s="16">
        <f t="shared" si="11"/>
        <v>351500</v>
      </c>
      <c r="T88" s="45">
        <f t="shared" si="12"/>
        <v>8.0693296602387505</v>
      </c>
      <c r="U88" s="40">
        <v>40</v>
      </c>
      <c r="V88" s="6" t="s">
        <v>55</v>
      </c>
      <c r="X88" t="s">
        <v>56</v>
      </c>
      <c r="Z88" s="7" t="s">
        <v>57</v>
      </c>
      <c r="AA88" t="s">
        <v>58</v>
      </c>
    </row>
    <row r="89" spans="1:27" x14ac:dyDescent="0.25">
      <c r="A89" t="s">
        <v>160</v>
      </c>
      <c r="B89" t="s">
        <v>161</v>
      </c>
      <c r="C89" s="26">
        <v>44813</v>
      </c>
      <c r="D89" s="16">
        <v>80000</v>
      </c>
      <c r="E89" t="s">
        <v>61</v>
      </c>
      <c r="F89" t="s">
        <v>47</v>
      </c>
      <c r="G89" s="16">
        <v>80000</v>
      </c>
      <c r="H89" s="16">
        <v>19200</v>
      </c>
      <c r="I89" s="21">
        <f t="shared" si="9"/>
        <v>24</v>
      </c>
      <c r="J89" s="16">
        <v>51664</v>
      </c>
      <c r="K89" s="16">
        <f>G89-47161</f>
        <v>32839</v>
      </c>
      <c r="L89" s="16">
        <v>4503</v>
      </c>
      <c r="M89" s="50">
        <f t="shared" si="13"/>
        <v>5.6287499999999997E-2</v>
      </c>
      <c r="N89" s="31">
        <v>34.641016</v>
      </c>
      <c r="O89" s="35">
        <v>100</v>
      </c>
      <c r="P89" s="40">
        <v>9.1999999999999998E-2</v>
      </c>
      <c r="Q89" s="40">
        <v>9.1999999999999998E-2</v>
      </c>
      <c r="R89" s="16">
        <f t="shared" si="10"/>
        <v>947.98027863847869</v>
      </c>
      <c r="S89" s="16">
        <f t="shared" si="11"/>
        <v>356945.65217391303</v>
      </c>
      <c r="T89" s="45">
        <f t="shared" si="12"/>
        <v>8.1943446320916671</v>
      </c>
      <c r="U89" s="40">
        <v>40</v>
      </c>
      <c r="V89" s="6" t="s">
        <v>55</v>
      </c>
      <c r="X89" t="s">
        <v>56</v>
      </c>
      <c r="Z89" s="7" t="s">
        <v>57</v>
      </c>
      <c r="AA89" t="s">
        <v>58</v>
      </c>
    </row>
    <row r="90" spans="1:27" x14ac:dyDescent="0.25">
      <c r="A90" t="s">
        <v>307</v>
      </c>
      <c r="B90" t="s">
        <v>308</v>
      </c>
      <c r="C90" s="26">
        <v>44558</v>
      </c>
      <c r="D90" s="16">
        <v>85000</v>
      </c>
      <c r="E90" t="s">
        <v>46</v>
      </c>
      <c r="F90" t="s">
        <v>47</v>
      </c>
      <c r="G90" s="16">
        <v>85000</v>
      </c>
      <c r="H90" s="16">
        <v>17200</v>
      </c>
      <c r="I90" s="21">
        <f t="shared" si="9"/>
        <v>20.235294117647058</v>
      </c>
      <c r="J90" s="16">
        <v>54382</v>
      </c>
      <c r="K90" s="16">
        <f>G90-49605</f>
        <v>35395</v>
      </c>
      <c r="L90" s="16">
        <v>4777</v>
      </c>
      <c r="M90" s="50">
        <f t="shared" si="13"/>
        <v>5.62E-2</v>
      </c>
      <c r="N90" s="31">
        <v>36.742345999999998</v>
      </c>
      <c r="O90" s="35">
        <v>100</v>
      </c>
      <c r="P90" s="40">
        <v>0.10299999999999999</v>
      </c>
      <c r="Q90" s="40">
        <v>0.10299999999999999</v>
      </c>
      <c r="R90" s="16">
        <f t="shared" si="10"/>
        <v>963.32988644764282</v>
      </c>
      <c r="S90" s="16">
        <f t="shared" si="11"/>
        <v>343640.77669902914</v>
      </c>
      <c r="T90" s="45">
        <f t="shared" si="12"/>
        <v>7.8889067194451137</v>
      </c>
      <c r="U90" s="40">
        <v>45</v>
      </c>
      <c r="V90" s="6" t="s">
        <v>55</v>
      </c>
      <c r="X90" t="s">
        <v>56</v>
      </c>
      <c r="Z90" s="7" t="s">
        <v>57</v>
      </c>
      <c r="AA90" t="s">
        <v>58</v>
      </c>
    </row>
    <row r="91" spans="1:27" x14ac:dyDescent="0.25">
      <c r="A91" t="s">
        <v>111</v>
      </c>
      <c r="B91" t="s">
        <v>112</v>
      </c>
      <c r="C91" s="26">
        <v>44321</v>
      </c>
      <c r="D91" s="16">
        <v>84000</v>
      </c>
      <c r="E91" t="s">
        <v>46</v>
      </c>
      <c r="F91" t="s">
        <v>47</v>
      </c>
      <c r="G91" s="16">
        <v>84000</v>
      </c>
      <c r="H91" s="16">
        <v>17700</v>
      </c>
      <c r="I91" s="21">
        <f t="shared" si="9"/>
        <v>21.071428571428573</v>
      </c>
      <c r="J91" s="16">
        <v>55842</v>
      </c>
      <c r="K91" s="16">
        <f>G91-51550</f>
        <v>32450</v>
      </c>
      <c r="L91" s="16">
        <v>4292</v>
      </c>
      <c r="M91" s="50">
        <f t="shared" si="13"/>
        <v>5.1095238095238096E-2</v>
      </c>
      <c r="N91" s="31">
        <v>33.014997000000001</v>
      </c>
      <c r="O91" s="35">
        <v>121.110001</v>
      </c>
      <c r="P91" s="40">
        <v>8.3000000000000004E-2</v>
      </c>
      <c r="Q91" s="40">
        <v>8.3000000000000004E-2</v>
      </c>
      <c r="R91" s="16">
        <f t="shared" si="10"/>
        <v>982.88665602483616</v>
      </c>
      <c r="S91" s="16">
        <f t="shared" si="11"/>
        <v>390963.85542168672</v>
      </c>
      <c r="T91" s="45">
        <f t="shared" si="12"/>
        <v>8.975295119873433</v>
      </c>
      <c r="U91" s="40">
        <v>30</v>
      </c>
      <c r="V91" s="6" t="s">
        <v>55</v>
      </c>
      <c r="X91" t="s">
        <v>56</v>
      </c>
      <c r="Z91" s="7" t="s">
        <v>57</v>
      </c>
      <c r="AA91" t="s">
        <v>58</v>
      </c>
    </row>
    <row r="92" spans="1:27" x14ac:dyDescent="0.25">
      <c r="A92" t="s">
        <v>276</v>
      </c>
      <c r="B92" t="s">
        <v>277</v>
      </c>
      <c r="C92" s="26">
        <v>44674</v>
      </c>
      <c r="D92" s="16">
        <v>73500</v>
      </c>
      <c r="E92" t="s">
        <v>61</v>
      </c>
      <c r="F92" t="s">
        <v>47</v>
      </c>
      <c r="G92" s="16">
        <v>73500</v>
      </c>
      <c r="H92" s="16">
        <v>17300</v>
      </c>
      <c r="I92" s="21">
        <f t="shared" si="9"/>
        <v>23.537414965986393</v>
      </c>
      <c r="J92" s="16">
        <v>45899</v>
      </c>
      <c r="K92" s="16">
        <f>G92-41809</f>
        <v>31691</v>
      </c>
      <c r="L92" s="16">
        <v>4090</v>
      </c>
      <c r="M92" s="50">
        <f t="shared" si="13"/>
        <v>5.5646258503401359E-2</v>
      </c>
      <c r="N92" s="31">
        <v>31.464265000000001</v>
      </c>
      <c r="O92" s="35">
        <v>110</v>
      </c>
      <c r="P92" s="40">
        <v>7.5999999999999998E-2</v>
      </c>
      <c r="Q92" s="40">
        <v>7.5999999999999998E-2</v>
      </c>
      <c r="R92" s="16">
        <f t="shared" si="10"/>
        <v>1007.2061114410268</v>
      </c>
      <c r="S92" s="16">
        <f t="shared" si="11"/>
        <v>416986.84210526315</v>
      </c>
      <c r="T92" s="45">
        <f t="shared" si="12"/>
        <v>9.572700691121744</v>
      </c>
      <c r="U92" s="40">
        <v>30</v>
      </c>
      <c r="V92" s="6" t="s">
        <v>55</v>
      </c>
      <c r="X92" t="s">
        <v>56</v>
      </c>
      <c r="Z92" s="7" t="s">
        <v>57</v>
      </c>
      <c r="AA92" t="s">
        <v>58</v>
      </c>
    </row>
    <row r="93" spans="1:27" x14ac:dyDescent="0.25">
      <c r="A93" t="s">
        <v>315</v>
      </c>
      <c r="B93" t="s">
        <v>316</v>
      </c>
      <c r="C93" s="26">
        <v>44560</v>
      </c>
      <c r="D93" s="16">
        <v>68000</v>
      </c>
      <c r="E93" t="s">
        <v>46</v>
      </c>
      <c r="F93" t="s">
        <v>47</v>
      </c>
      <c r="G93" s="16">
        <v>68000</v>
      </c>
      <c r="H93" s="16">
        <v>12800</v>
      </c>
      <c r="I93" s="21">
        <f t="shared" si="9"/>
        <v>18.823529411764707</v>
      </c>
      <c r="J93" s="16">
        <v>40098</v>
      </c>
      <c r="K93" s="16">
        <f>G93-36019</f>
        <v>31981</v>
      </c>
      <c r="L93" s="16">
        <v>4079</v>
      </c>
      <c r="M93" s="50">
        <f t="shared" si="13"/>
        <v>5.998529411764706E-2</v>
      </c>
      <c r="N93" s="31">
        <v>31.378336000000001</v>
      </c>
      <c r="O93" s="35">
        <v>109.400002</v>
      </c>
      <c r="P93" s="40">
        <v>7.4999999999999997E-2</v>
      </c>
      <c r="Q93" s="40">
        <v>7.4999999999999997E-2</v>
      </c>
      <c r="R93" s="16">
        <f t="shared" si="10"/>
        <v>1019.2063721925854</v>
      </c>
      <c r="S93" s="16">
        <f t="shared" si="11"/>
        <v>426413.33333333337</v>
      </c>
      <c r="T93" s="45">
        <f t="shared" si="12"/>
        <v>9.7891031527395178</v>
      </c>
      <c r="U93" s="40">
        <v>30</v>
      </c>
      <c r="V93" s="6" t="s">
        <v>55</v>
      </c>
      <c r="X93" t="s">
        <v>56</v>
      </c>
      <c r="Z93" s="7" t="s">
        <v>57</v>
      </c>
      <c r="AA93" t="s">
        <v>58</v>
      </c>
    </row>
    <row r="94" spans="1:27" x14ac:dyDescent="0.25">
      <c r="A94" t="s">
        <v>162</v>
      </c>
      <c r="B94" t="s">
        <v>163</v>
      </c>
      <c r="C94" s="26">
        <v>44400</v>
      </c>
      <c r="D94" s="16">
        <v>69000</v>
      </c>
      <c r="E94" t="s">
        <v>46</v>
      </c>
      <c r="F94" t="s">
        <v>47</v>
      </c>
      <c r="G94" s="16">
        <v>69000</v>
      </c>
      <c r="H94" s="16">
        <v>13500</v>
      </c>
      <c r="I94" s="21">
        <f t="shared" si="9"/>
        <v>19.565217391304348</v>
      </c>
      <c r="J94" s="16">
        <v>42310</v>
      </c>
      <c r="K94" s="16">
        <f>G94-38410</f>
        <v>30590</v>
      </c>
      <c r="L94" s="16">
        <v>3900</v>
      </c>
      <c r="M94" s="50">
        <f t="shared" si="13"/>
        <v>5.6521739130434782E-2</v>
      </c>
      <c r="N94" s="31">
        <v>30</v>
      </c>
      <c r="O94" s="35">
        <v>100</v>
      </c>
      <c r="P94" s="40">
        <v>6.9000000000000006E-2</v>
      </c>
      <c r="Q94" s="40">
        <v>6.9000000000000006E-2</v>
      </c>
      <c r="R94" s="16">
        <f t="shared" si="10"/>
        <v>1019.6666666666666</v>
      </c>
      <c r="S94" s="16">
        <f t="shared" si="11"/>
        <v>443333.33333333331</v>
      </c>
      <c r="T94" s="45">
        <f t="shared" si="12"/>
        <v>10.177532904805632</v>
      </c>
      <c r="U94" s="40">
        <v>30</v>
      </c>
      <c r="V94" s="6" t="s">
        <v>55</v>
      </c>
      <c r="X94" t="s">
        <v>56</v>
      </c>
      <c r="Z94" s="7" t="s">
        <v>57</v>
      </c>
      <c r="AA94" t="s">
        <v>58</v>
      </c>
    </row>
    <row r="95" spans="1:27" x14ac:dyDescent="0.25">
      <c r="A95" t="s">
        <v>278</v>
      </c>
      <c r="B95" t="s">
        <v>279</v>
      </c>
      <c r="C95" s="26">
        <v>44995</v>
      </c>
      <c r="D95" s="16">
        <v>78000</v>
      </c>
      <c r="E95" t="s">
        <v>46</v>
      </c>
      <c r="F95" t="s">
        <v>47</v>
      </c>
      <c r="G95" s="16">
        <v>78000</v>
      </c>
      <c r="H95" s="16">
        <v>16600</v>
      </c>
      <c r="I95" s="21">
        <f t="shared" si="9"/>
        <v>21.282051282051281</v>
      </c>
      <c r="J95" s="16">
        <v>45922</v>
      </c>
      <c r="K95" s="16">
        <f>G95-41243</f>
        <v>36757</v>
      </c>
      <c r="L95" s="16">
        <v>4679</v>
      </c>
      <c r="M95" s="50">
        <f t="shared" si="13"/>
        <v>5.9987179487179486E-2</v>
      </c>
      <c r="N95" s="31">
        <v>35.991666000000002</v>
      </c>
      <c r="O95" s="35">
        <v>100</v>
      </c>
      <c r="P95" s="40">
        <v>0.107</v>
      </c>
      <c r="Q95" s="40">
        <v>0.107</v>
      </c>
      <c r="R95" s="16">
        <f t="shared" si="10"/>
        <v>1021.2642004401796</v>
      </c>
      <c r="S95" s="16">
        <f t="shared" si="11"/>
        <v>343523.36448598129</v>
      </c>
      <c r="T95" s="45">
        <f t="shared" si="12"/>
        <v>7.8862113059224352</v>
      </c>
      <c r="U95" s="40">
        <v>36.26</v>
      </c>
      <c r="V95" s="6" t="s">
        <v>55</v>
      </c>
      <c r="X95" t="s">
        <v>56</v>
      </c>
      <c r="Z95" s="7" t="s">
        <v>57</v>
      </c>
      <c r="AA95" t="s">
        <v>58</v>
      </c>
    </row>
    <row r="96" spans="1:27" x14ac:dyDescent="0.25">
      <c r="A96" t="s">
        <v>164</v>
      </c>
      <c r="B96" t="s">
        <v>165</v>
      </c>
      <c r="C96" s="26">
        <v>44662</v>
      </c>
      <c r="D96" s="16">
        <v>92000</v>
      </c>
      <c r="E96" t="s">
        <v>46</v>
      </c>
      <c r="F96" t="s">
        <v>47</v>
      </c>
      <c r="G96" s="16">
        <v>92000</v>
      </c>
      <c r="H96" s="16">
        <v>21600</v>
      </c>
      <c r="I96" s="21">
        <f t="shared" si="9"/>
        <v>23.478260869565219</v>
      </c>
      <c r="J96" s="16">
        <v>58240</v>
      </c>
      <c r="K96" s="16">
        <f>G96-53463</f>
        <v>38537</v>
      </c>
      <c r="L96" s="16">
        <v>4777</v>
      </c>
      <c r="M96" s="50">
        <f t="shared" si="13"/>
        <v>5.1923913043478258E-2</v>
      </c>
      <c r="N96" s="31">
        <v>36.742345999999998</v>
      </c>
      <c r="O96" s="35">
        <v>100</v>
      </c>
      <c r="P96" s="40">
        <v>0.10299999999999999</v>
      </c>
      <c r="Q96" s="40">
        <v>0.10299999999999999</v>
      </c>
      <c r="R96" s="16">
        <f t="shared" si="10"/>
        <v>1048.8442953533779</v>
      </c>
      <c r="S96" s="16">
        <f t="shared" si="11"/>
        <v>374145.63106796116</v>
      </c>
      <c r="T96" s="45">
        <f t="shared" si="12"/>
        <v>8.5892018151506235</v>
      </c>
      <c r="U96" s="40">
        <v>45</v>
      </c>
      <c r="V96" s="6" t="s">
        <v>55</v>
      </c>
      <c r="X96" t="s">
        <v>56</v>
      </c>
      <c r="Z96" s="7" t="s">
        <v>57</v>
      </c>
      <c r="AA96" t="s">
        <v>58</v>
      </c>
    </row>
    <row r="97" spans="1:27" x14ac:dyDescent="0.25">
      <c r="A97" t="s">
        <v>91</v>
      </c>
      <c r="B97" t="s">
        <v>92</v>
      </c>
      <c r="C97" s="26">
        <v>44834</v>
      </c>
      <c r="D97" s="16">
        <v>89900</v>
      </c>
      <c r="E97" t="s">
        <v>46</v>
      </c>
      <c r="F97" t="s">
        <v>47</v>
      </c>
      <c r="G97" s="16">
        <v>89900</v>
      </c>
      <c r="H97" s="16">
        <v>22400</v>
      </c>
      <c r="I97" s="21">
        <f t="shared" si="9"/>
        <v>24.916573971078975</v>
      </c>
      <c r="J97" s="16">
        <v>60672</v>
      </c>
      <c r="K97" s="16">
        <f>G97-56582</f>
        <v>33318</v>
      </c>
      <c r="L97" s="16">
        <v>4090</v>
      </c>
      <c r="M97" s="50">
        <f t="shared" si="13"/>
        <v>4.5494994438264741E-2</v>
      </c>
      <c r="N97" s="31">
        <v>31.464265000000001</v>
      </c>
      <c r="O97" s="35">
        <v>110</v>
      </c>
      <c r="P97" s="40">
        <v>7.5999999999999998E-2</v>
      </c>
      <c r="Q97" s="40">
        <v>7.5999999999999998E-2</v>
      </c>
      <c r="R97" s="16">
        <f t="shared" si="10"/>
        <v>1058.9155665959463</v>
      </c>
      <c r="S97" s="16">
        <f t="shared" si="11"/>
        <v>438394.73684210528</v>
      </c>
      <c r="T97" s="45">
        <f t="shared" si="12"/>
        <v>10.064158329708569</v>
      </c>
      <c r="U97" s="40">
        <v>30</v>
      </c>
      <c r="V97" s="6" t="s">
        <v>55</v>
      </c>
      <c r="X97" t="s">
        <v>56</v>
      </c>
      <c r="Z97" s="7" t="s">
        <v>57</v>
      </c>
      <c r="AA97" t="s">
        <v>58</v>
      </c>
    </row>
    <row r="98" spans="1:27" x14ac:dyDescent="0.25">
      <c r="A98" t="s">
        <v>62</v>
      </c>
      <c r="B98" t="s">
        <v>63</v>
      </c>
      <c r="C98" s="26">
        <v>44893</v>
      </c>
      <c r="D98" s="16">
        <v>150000</v>
      </c>
      <c r="E98" t="s">
        <v>46</v>
      </c>
      <c r="F98" t="s">
        <v>64</v>
      </c>
      <c r="G98" s="16">
        <v>150000</v>
      </c>
      <c r="H98" s="16">
        <v>28200</v>
      </c>
      <c r="I98" s="21">
        <f t="shared" si="9"/>
        <v>18.8</v>
      </c>
      <c r="J98" s="16">
        <v>80072</v>
      </c>
      <c r="K98" s="16">
        <f>G98-70541</f>
        <v>79459</v>
      </c>
      <c r="L98" s="16">
        <v>9531</v>
      </c>
      <c r="M98" s="50">
        <f t="shared" si="13"/>
        <v>6.3539999999999999E-2</v>
      </c>
      <c r="N98" s="31">
        <v>73.318994000000004</v>
      </c>
      <c r="O98" s="35">
        <v>204.96000599999999</v>
      </c>
      <c r="P98" s="40">
        <v>0.21199999999999999</v>
      </c>
      <c r="Q98" s="40">
        <v>0.14099999999999999</v>
      </c>
      <c r="R98" s="16">
        <f t="shared" si="10"/>
        <v>1083.7437294897964</v>
      </c>
      <c r="S98" s="16">
        <f t="shared" si="11"/>
        <v>374806.60377358494</v>
      </c>
      <c r="T98" s="45">
        <f t="shared" si="12"/>
        <v>8.6043756605506179</v>
      </c>
      <c r="U98" s="40">
        <v>90</v>
      </c>
      <c r="V98" s="6" t="s">
        <v>55</v>
      </c>
      <c r="W98" t="s">
        <v>65</v>
      </c>
      <c r="X98" t="s">
        <v>56</v>
      </c>
      <c r="Z98" s="7" t="s">
        <v>57</v>
      </c>
      <c r="AA98" t="s">
        <v>58</v>
      </c>
    </row>
    <row r="99" spans="1:27" x14ac:dyDescent="0.25">
      <c r="A99" t="s">
        <v>99</v>
      </c>
      <c r="B99" t="s">
        <v>100</v>
      </c>
      <c r="C99" s="26">
        <v>44342</v>
      </c>
      <c r="D99" s="16">
        <v>100000</v>
      </c>
      <c r="E99" t="s">
        <v>46</v>
      </c>
      <c r="F99" t="s">
        <v>47</v>
      </c>
      <c r="G99" s="16">
        <v>100000</v>
      </c>
      <c r="H99" s="16">
        <v>21600</v>
      </c>
      <c r="I99" s="21">
        <f t="shared" ref="I99:I116" si="14">H99/G99*100</f>
        <v>21.6</v>
      </c>
      <c r="J99" s="16">
        <v>68188</v>
      </c>
      <c r="K99" s="16">
        <f>G99-64020</f>
        <v>35980</v>
      </c>
      <c r="L99" s="16">
        <v>4168</v>
      </c>
      <c r="M99" s="50">
        <f t="shared" si="13"/>
        <v>4.1680000000000002E-2</v>
      </c>
      <c r="N99" s="31">
        <v>32.060724</v>
      </c>
      <c r="O99" s="35">
        <v>114.209999</v>
      </c>
      <c r="P99" s="40">
        <v>7.9000000000000001E-2</v>
      </c>
      <c r="Q99" s="40">
        <v>7.9000000000000001E-2</v>
      </c>
      <c r="R99" s="16">
        <f t="shared" ref="R99:R116" si="15">K99/N99</f>
        <v>1122.245399074581</v>
      </c>
      <c r="S99" s="16">
        <f t="shared" ref="S99:S116" si="16">K99/P99</f>
        <v>455443.03797468357</v>
      </c>
      <c r="T99" s="45">
        <f t="shared" ref="T99:T116" si="17">K99/P99/43560</f>
        <v>10.455533470493195</v>
      </c>
      <c r="U99" s="40">
        <v>30</v>
      </c>
      <c r="V99" s="6" t="s">
        <v>55</v>
      </c>
      <c r="X99" t="s">
        <v>56</v>
      </c>
      <c r="Z99" s="7" t="s">
        <v>57</v>
      </c>
      <c r="AA99" t="s">
        <v>58</v>
      </c>
    </row>
    <row r="100" spans="1:27" x14ac:dyDescent="0.25">
      <c r="A100" t="s">
        <v>256</v>
      </c>
      <c r="B100" t="s">
        <v>257</v>
      </c>
      <c r="C100" s="26">
        <v>44734</v>
      </c>
      <c r="D100" s="16">
        <v>130000</v>
      </c>
      <c r="E100" t="s">
        <v>46</v>
      </c>
      <c r="F100" t="s">
        <v>47</v>
      </c>
      <c r="G100" s="16">
        <v>130000</v>
      </c>
      <c r="H100" s="16">
        <v>35400</v>
      </c>
      <c r="I100" s="21">
        <f t="shared" si="14"/>
        <v>27.23076923076923</v>
      </c>
      <c r="J100" s="16">
        <v>98258</v>
      </c>
      <c r="K100" s="16">
        <f>G100-94390</f>
        <v>35610</v>
      </c>
      <c r="L100" s="16">
        <v>3868</v>
      </c>
      <c r="M100" s="50">
        <f t="shared" si="13"/>
        <v>2.9753846153846155E-2</v>
      </c>
      <c r="N100" s="31">
        <v>29.756197</v>
      </c>
      <c r="O100" s="35">
        <v>59.625</v>
      </c>
      <c r="P100" s="40">
        <v>6.8000000000000005E-2</v>
      </c>
      <c r="Q100" s="40">
        <v>6.8000000000000005E-2</v>
      </c>
      <c r="R100" s="16">
        <f t="shared" si="15"/>
        <v>1196.7255089754917</v>
      </c>
      <c r="S100" s="16">
        <f t="shared" si="16"/>
        <v>523676.47058823524</v>
      </c>
      <c r="T100" s="45">
        <f t="shared" si="17"/>
        <v>12.021957543347916</v>
      </c>
      <c r="U100" s="40">
        <v>49.5</v>
      </c>
      <c r="V100" s="6" t="s">
        <v>55</v>
      </c>
      <c r="X100" t="s">
        <v>56</v>
      </c>
      <c r="Z100" s="7" t="s">
        <v>57</v>
      </c>
      <c r="AA100" t="s">
        <v>58</v>
      </c>
    </row>
    <row r="101" spans="1:27" x14ac:dyDescent="0.25">
      <c r="A101" t="s">
        <v>340</v>
      </c>
      <c r="B101" t="s">
        <v>341</v>
      </c>
      <c r="C101" s="26">
        <v>44747</v>
      </c>
      <c r="D101" s="16">
        <v>82999</v>
      </c>
      <c r="E101" t="s">
        <v>46</v>
      </c>
      <c r="F101" t="s">
        <v>47</v>
      </c>
      <c r="G101" s="16">
        <v>82999</v>
      </c>
      <c r="H101" s="16">
        <v>16800</v>
      </c>
      <c r="I101" s="21">
        <f t="shared" si="14"/>
        <v>20.241207725394279</v>
      </c>
      <c r="J101" s="16">
        <v>45175</v>
      </c>
      <c r="K101" s="16">
        <f>G101-40571</f>
        <v>42428</v>
      </c>
      <c r="L101" s="16">
        <v>4604</v>
      </c>
      <c r="M101" s="50">
        <f t="shared" si="13"/>
        <v>5.5470547837925759E-2</v>
      </c>
      <c r="N101" s="31">
        <v>35.411861999999999</v>
      </c>
      <c r="O101" s="35">
        <v>110</v>
      </c>
      <c r="P101" s="40">
        <v>9.6000000000000002E-2</v>
      </c>
      <c r="Q101" s="40">
        <v>9.6000000000000002E-2</v>
      </c>
      <c r="R101" s="16">
        <f t="shared" si="15"/>
        <v>1198.1295984944254</v>
      </c>
      <c r="S101" s="16">
        <f t="shared" si="16"/>
        <v>441958.33333333331</v>
      </c>
      <c r="T101" s="45">
        <f t="shared" si="17"/>
        <v>10.145967248239975</v>
      </c>
      <c r="U101" s="40">
        <v>38</v>
      </c>
      <c r="V101" s="6" t="s">
        <v>55</v>
      </c>
      <c r="X101" t="s">
        <v>56</v>
      </c>
      <c r="Z101" s="7" t="s">
        <v>57</v>
      </c>
      <c r="AA101" t="s">
        <v>58</v>
      </c>
    </row>
    <row r="102" spans="1:27" x14ac:dyDescent="0.25">
      <c r="A102" t="s">
        <v>53</v>
      </c>
      <c r="B102" t="s">
        <v>54</v>
      </c>
      <c r="C102" s="26">
        <v>44547</v>
      </c>
      <c r="D102" s="16">
        <v>70000</v>
      </c>
      <c r="E102" t="s">
        <v>46</v>
      </c>
      <c r="F102" t="s">
        <v>47</v>
      </c>
      <c r="G102" s="16">
        <v>70000</v>
      </c>
      <c r="H102" s="16">
        <v>11200</v>
      </c>
      <c r="I102" s="21">
        <f t="shared" si="14"/>
        <v>16</v>
      </c>
      <c r="J102" s="16">
        <v>37064</v>
      </c>
      <c r="K102" s="16">
        <f>G102-33091</f>
        <v>36909</v>
      </c>
      <c r="L102" s="16">
        <v>3973</v>
      </c>
      <c r="M102" s="50">
        <f t="shared" si="13"/>
        <v>5.675714285714286E-2</v>
      </c>
      <c r="N102" s="31">
        <v>30.563213000000001</v>
      </c>
      <c r="O102" s="35">
        <v>103.790001</v>
      </c>
      <c r="P102" s="40">
        <v>7.0999999999999994E-2</v>
      </c>
      <c r="Q102" s="40">
        <v>7.0999999999999994E-2</v>
      </c>
      <c r="R102" s="16">
        <f t="shared" si="15"/>
        <v>1207.6282686640309</v>
      </c>
      <c r="S102" s="16">
        <f t="shared" si="16"/>
        <v>519845.07042253524</v>
      </c>
      <c r="T102" s="45">
        <f t="shared" si="17"/>
        <v>11.934000698405308</v>
      </c>
      <c r="U102" s="40">
        <v>30</v>
      </c>
      <c r="V102" s="6" t="s">
        <v>55</v>
      </c>
      <c r="X102" t="s">
        <v>56</v>
      </c>
      <c r="Z102" s="7" t="s">
        <v>57</v>
      </c>
      <c r="AA102" t="s">
        <v>58</v>
      </c>
    </row>
    <row r="103" spans="1:27" x14ac:dyDescent="0.25">
      <c r="A103" t="s">
        <v>288</v>
      </c>
      <c r="B103" t="s">
        <v>289</v>
      </c>
      <c r="C103" s="26">
        <v>44729</v>
      </c>
      <c r="D103" s="16">
        <v>112000</v>
      </c>
      <c r="E103" t="s">
        <v>46</v>
      </c>
      <c r="F103" t="s">
        <v>47</v>
      </c>
      <c r="G103" s="16">
        <v>112000</v>
      </c>
      <c r="H103" s="16">
        <v>25200</v>
      </c>
      <c r="I103" s="21">
        <f t="shared" si="14"/>
        <v>22.5</v>
      </c>
      <c r="J103" s="16">
        <v>67861</v>
      </c>
      <c r="K103" s="16">
        <f>G103-62850</f>
        <v>49150</v>
      </c>
      <c r="L103" s="16">
        <v>5011</v>
      </c>
      <c r="M103" s="50">
        <f t="shared" si="13"/>
        <v>4.4741071428571429E-2</v>
      </c>
      <c r="N103" s="31">
        <v>38.542704000000001</v>
      </c>
      <c r="O103" s="35">
        <v>110.040001</v>
      </c>
      <c r="P103" s="40">
        <v>0.114</v>
      </c>
      <c r="Q103" s="40">
        <v>0.114</v>
      </c>
      <c r="R103" s="16">
        <f t="shared" si="15"/>
        <v>1275.2089215120973</v>
      </c>
      <c r="S103" s="16">
        <f t="shared" si="16"/>
        <v>431140.35087719298</v>
      </c>
      <c r="T103" s="45">
        <f t="shared" si="17"/>
        <v>9.8976205435535576</v>
      </c>
      <c r="U103" s="40">
        <v>45</v>
      </c>
      <c r="V103" s="6" t="s">
        <v>55</v>
      </c>
      <c r="X103" t="s">
        <v>56</v>
      </c>
      <c r="Z103" s="7" t="s">
        <v>57</v>
      </c>
      <c r="AA103" t="s">
        <v>58</v>
      </c>
    </row>
    <row r="104" spans="1:27" x14ac:dyDescent="0.25">
      <c r="A104" t="s">
        <v>194</v>
      </c>
      <c r="B104" t="s">
        <v>195</v>
      </c>
      <c r="C104" s="26">
        <v>44321</v>
      </c>
      <c r="D104" s="16">
        <v>78478</v>
      </c>
      <c r="E104" t="s">
        <v>46</v>
      </c>
      <c r="F104" t="s">
        <v>196</v>
      </c>
      <c r="G104" s="16">
        <v>78478</v>
      </c>
      <c r="H104" s="16">
        <v>12800</v>
      </c>
      <c r="I104" s="21">
        <f t="shared" si="14"/>
        <v>16.310303524554655</v>
      </c>
      <c r="J104" s="16">
        <v>42406</v>
      </c>
      <c r="K104" s="16">
        <f>G104-38316</f>
        <v>40162</v>
      </c>
      <c r="L104" s="16">
        <v>4090</v>
      </c>
      <c r="M104" s="50">
        <f t="shared" si="13"/>
        <v>5.2116516730803537E-2</v>
      </c>
      <c r="N104" s="31">
        <v>31.464265000000001</v>
      </c>
      <c r="O104" s="35">
        <v>110</v>
      </c>
      <c r="P104" s="40">
        <v>7.5999999999999998E-2</v>
      </c>
      <c r="Q104" s="40">
        <v>7.5999999999999998E-2</v>
      </c>
      <c r="R104" s="16">
        <f t="shared" si="15"/>
        <v>1276.4321683662401</v>
      </c>
      <c r="S104" s="16">
        <f t="shared" si="16"/>
        <v>528447.3684210527</v>
      </c>
      <c r="T104" s="45">
        <f t="shared" si="17"/>
        <v>12.131482286984681</v>
      </c>
      <c r="U104" s="40">
        <v>30</v>
      </c>
      <c r="V104" s="6" t="s">
        <v>55</v>
      </c>
      <c r="X104" t="s">
        <v>56</v>
      </c>
      <c r="Z104" s="7" t="s">
        <v>57</v>
      </c>
      <c r="AA104" t="s">
        <v>58</v>
      </c>
    </row>
    <row r="105" spans="1:27" x14ac:dyDescent="0.25">
      <c r="A105" t="s">
        <v>201</v>
      </c>
      <c r="B105" t="s">
        <v>202</v>
      </c>
      <c r="C105" s="26">
        <v>44547</v>
      </c>
      <c r="D105" s="16">
        <v>100000</v>
      </c>
      <c r="E105" t="s">
        <v>46</v>
      </c>
      <c r="F105" t="s">
        <v>47</v>
      </c>
      <c r="G105" s="16">
        <v>100000</v>
      </c>
      <c r="H105" s="16">
        <v>19000</v>
      </c>
      <c r="I105" s="21">
        <f t="shared" si="14"/>
        <v>19</v>
      </c>
      <c r="J105" s="16">
        <v>63889</v>
      </c>
      <c r="K105" s="16">
        <f>G105-59799</f>
        <v>40201</v>
      </c>
      <c r="L105" s="16">
        <v>4090</v>
      </c>
      <c r="M105" s="50">
        <f t="shared" si="13"/>
        <v>4.0899999999999999E-2</v>
      </c>
      <c r="N105" s="31">
        <v>31.464265000000001</v>
      </c>
      <c r="O105" s="35">
        <v>110</v>
      </c>
      <c r="P105" s="40">
        <v>7.5999999999999998E-2</v>
      </c>
      <c r="Q105" s="40">
        <v>7.5999999999999998E-2</v>
      </c>
      <c r="R105" s="16">
        <f t="shared" si="15"/>
        <v>1277.6716697497939</v>
      </c>
      <c r="S105" s="16">
        <f t="shared" si="16"/>
        <v>528960.52631578944</v>
      </c>
      <c r="T105" s="45">
        <f t="shared" si="17"/>
        <v>12.143262771253202</v>
      </c>
      <c r="U105" s="40">
        <v>30</v>
      </c>
      <c r="V105" s="6" t="s">
        <v>55</v>
      </c>
      <c r="X105" t="s">
        <v>56</v>
      </c>
      <c r="Z105" s="7" t="s">
        <v>57</v>
      </c>
      <c r="AA105" t="s">
        <v>58</v>
      </c>
    </row>
    <row r="106" spans="1:27" x14ac:dyDescent="0.25">
      <c r="A106" t="s">
        <v>290</v>
      </c>
      <c r="B106" t="s">
        <v>291</v>
      </c>
      <c r="C106" s="26">
        <v>45006</v>
      </c>
      <c r="D106" s="16">
        <v>79500</v>
      </c>
      <c r="E106" t="s">
        <v>46</v>
      </c>
      <c r="F106" t="s">
        <v>47</v>
      </c>
      <c r="G106" s="16">
        <v>79500</v>
      </c>
      <c r="H106" s="16">
        <v>16000</v>
      </c>
      <c r="I106" s="21">
        <f t="shared" si="14"/>
        <v>20.125786163522015</v>
      </c>
      <c r="J106" s="16">
        <v>42869</v>
      </c>
      <c r="K106" s="16">
        <f>G106-38778</f>
        <v>40722</v>
      </c>
      <c r="L106" s="16">
        <v>4091</v>
      </c>
      <c r="M106" s="50">
        <f t="shared" si="13"/>
        <v>5.1459119496855346E-2</v>
      </c>
      <c r="N106" s="31">
        <v>31.469985999999999</v>
      </c>
      <c r="O106" s="35">
        <v>110.040001</v>
      </c>
      <c r="P106" s="40">
        <v>7.5999999999999998E-2</v>
      </c>
      <c r="Q106" s="40">
        <v>7.5999999999999998E-2</v>
      </c>
      <c r="R106" s="16">
        <f t="shared" si="15"/>
        <v>1293.9948559239906</v>
      </c>
      <c r="S106" s="16">
        <f t="shared" si="16"/>
        <v>535815.78947368427</v>
      </c>
      <c r="T106" s="45">
        <f t="shared" si="17"/>
        <v>12.300637958532697</v>
      </c>
      <c r="U106" s="40">
        <v>30</v>
      </c>
      <c r="V106" s="6" t="s">
        <v>55</v>
      </c>
      <c r="X106" t="s">
        <v>56</v>
      </c>
      <c r="Z106" s="7" t="s">
        <v>57</v>
      </c>
      <c r="AA106" t="s">
        <v>58</v>
      </c>
    </row>
    <row r="107" spans="1:27" x14ac:dyDescent="0.25">
      <c r="A107" t="s">
        <v>217</v>
      </c>
      <c r="B107" t="s">
        <v>218</v>
      </c>
      <c r="C107" s="26">
        <v>44939</v>
      </c>
      <c r="D107" s="16">
        <v>100000</v>
      </c>
      <c r="E107" t="s">
        <v>61</v>
      </c>
      <c r="F107" t="s">
        <v>47</v>
      </c>
      <c r="G107" s="16">
        <v>100000</v>
      </c>
      <c r="H107" s="16">
        <v>23000</v>
      </c>
      <c r="I107" s="21">
        <f t="shared" si="14"/>
        <v>23</v>
      </c>
      <c r="J107" s="16">
        <v>61396</v>
      </c>
      <c r="K107" s="16">
        <f>G107-57184</f>
        <v>42816</v>
      </c>
      <c r="L107" s="16">
        <v>4212</v>
      </c>
      <c r="M107" s="50">
        <f t="shared" si="13"/>
        <v>4.2119999999999998E-2</v>
      </c>
      <c r="N107" s="31">
        <v>32.403703</v>
      </c>
      <c r="O107" s="35">
        <v>100</v>
      </c>
      <c r="P107" s="40">
        <v>0.08</v>
      </c>
      <c r="Q107" s="40">
        <v>0.08</v>
      </c>
      <c r="R107" s="16">
        <f t="shared" si="15"/>
        <v>1321.3304664593427</v>
      </c>
      <c r="S107" s="16">
        <f t="shared" si="16"/>
        <v>535200</v>
      </c>
      <c r="T107" s="45">
        <f t="shared" si="17"/>
        <v>12.286501377410469</v>
      </c>
      <c r="U107" s="40">
        <v>35</v>
      </c>
      <c r="V107" s="6" t="s">
        <v>55</v>
      </c>
      <c r="X107" t="s">
        <v>56</v>
      </c>
      <c r="Z107" s="7" t="s">
        <v>57</v>
      </c>
      <c r="AA107" t="s">
        <v>58</v>
      </c>
    </row>
    <row r="108" spans="1:27" x14ac:dyDescent="0.25">
      <c r="A108" t="s">
        <v>168</v>
      </c>
      <c r="B108" t="s">
        <v>169</v>
      </c>
      <c r="C108" s="26">
        <v>44665</v>
      </c>
      <c r="D108" s="16">
        <v>98000</v>
      </c>
      <c r="E108" t="s">
        <v>46</v>
      </c>
      <c r="F108" t="s">
        <v>47</v>
      </c>
      <c r="G108" s="16">
        <v>98000</v>
      </c>
      <c r="H108" s="16">
        <v>11200</v>
      </c>
      <c r="I108" s="21">
        <f t="shared" si="14"/>
        <v>11.428571428571429</v>
      </c>
      <c r="J108" s="16">
        <v>55180</v>
      </c>
      <c r="K108" s="16">
        <f>G108-50565</f>
        <v>47435</v>
      </c>
      <c r="L108" s="16">
        <v>4615</v>
      </c>
      <c r="M108" s="50">
        <f t="shared" si="13"/>
        <v>4.709183673469388E-2</v>
      </c>
      <c r="N108" s="31">
        <v>35.496479000000001</v>
      </c>
      <c r="O108" s="35">
        <v>100</v>
      </c>
      <c r="P108" s="40">
        <v>9.6000000000000002E-2</v>
      </c>
      <c r="Q108" s="40">
        <v>9.6000000000000002E-2</v>
      </c>
      <c r="R108" s="16">
        <f t="shared" si="15"/>
        <v>1336.3297244213995</v>
      </c>
      <c r="S108" s="16">
        <f t="shared" si="16"/>
        <v>494114.58333333331</v>
      </c>
      <c r="T108" s="45">
        <f t="shared" si="17"/>
        <v>11.343309993878176</v>
      </c>
      <c r="U108" s="40">
        <v>42</v>
      </c>
      <c r="V108" s="6" t="s">
        <v>55</v>
      </c>
      <c r="X108" t="s">
        <v>56</v>
      </c>
      <c r="Z108" s="7" t="s">
        <v>57</v>
      </c>
      <c r="AA108" t="s">
        <v>58</v>
      </c>
    </row>
    <row r="109" spans="1:27" x14ac:dyDescent="0.25">
      <c r="A109" t="s">
        <v>240</v>
      </c>
      <c r="B109" t="s">
        <v>241</v>
      </c>
      <c r="C109" s="26">
        <v>44789</v>
      </c>
      <c r="D109" s="16">
        <v>115000</v>
      </c>
      <c r="E109" t="s">
        <v>46</v>
      </c>
      <c r="F109" t="s">
        <v>47</v>
      </c>
      <c r="G109" s="16">
        <v>115000</v>
      </c>
      <c r="H109" s="16">
        <v>26800</v>
      </c>
      <c r="I109" s="21">
        <f t="shared" si="14"/>
        <v>23.304347826086957</v>
      </c>
      <c r="J109" s="16">
        <v>72762</v>
      </c>
      <c r="K109" s="16">
        <f>G109-68259</f>
        <v>46741</v>
      </c>
      <c r="L109" s="16">
        <v>4503</v>
      </c>
      <c r="M109" s="50">
        <f t="shared" si="13"/>
        <v>3.9156521739130437E-2</v>
      </c>
      <c r="N109" s="31">
        <v>34.641016</v>
      </c>
      <c r="O109" s="35">
        <v>100</v>
      </c>
      <c r="P109" s="40">
        <v>9.1999999999999998E-2</v>
      </c>
      <c r="Q109" s="40">
        <v>9.1999999999999998E-2</v>
      </c>
      <c r="R109" s="16">
        <f t="shared" si="15"/>
        <v>1349.2964525058965</v>
      </c>
      <c r="S109" s="16">
        <f t="shared" si="16"/>
        <v>508054.34782608697</v>
      </c>
      <c r="T109" s="45">
        <f t="shared" si="17"/>
        <v>11.663322952848645</v>
      </c>
      <c r="U109" s="40">
        <v>40</v>
      </c>
      <c r="V109" s="6" t="s">
        <v>55</v>
      </c>
      <c r="X109" t="s">
        <v>56</v>
      </c>
      <c r="Z109" s="7" t="s">
        <v>57</v>
      </c>
      <c r="AA109" t="s">
        <v>58</v>
      </c>
    </row>
    <row r="110" spans="1:27" x14ac:dyDescent="0.25">
      <c r="A110" t="s">
        <v>205</v>
      </c>
      <c r="B110" t="s">
        <v>206</v>
      </c>
      <c r="C110" s="26">
        <v>44827</v>
      </c>
      <c r="D110" s="16">
        <v>132000</v>
      </c>
      <c r="E110" t="s">
        <v>61</v>
      </c>
      <c r="F110" t="s">
        <v>47</v>
      </c>
      <c r="G110" s="16">
        <v>132000</v>
      </c>
      <c r="H110" s="16">
        <v>31500</v>
      </c>
      <c r="I110" s="21">
        <f t="shared" si="14"/>
        <v>23.863636363636363</v>
      </c>
      <c r="J110" s="16">
        <v>85069</v>
      </c>
      <c r="K110" s="16">
        <f>G110-80292</f>
        <v>51708</v>
      </c>
      <c r="L110" s="16">
        <v>4777</v>
      </c>
      <c r="M110" s="50">
        <f t="shared" si="13"/>
        <v>3.6189393939393938E-2</v>
      </c>
      <c r="N110" s="31">
        <v>36.742345999999998</v>
      </c>
      <c r="O110" s="35">
        <v>100</v>
      </c>
      <c r="P110" s="40">
        <v>0.10299999999999999</v>
      </c>
      <c r="Q110" s="40">
        <v>0.10299999999999999</v>
      </c>
      <c r="R110" s="16">
        <f t="shared" si="15"/>
        <v>1407.3135123162795</v>
      </c>
      <c r="S110" s="16">
        <f t="shared" si="16"/>
        <v>502019.4174757282</v>
      </c>
      <c r="T110" s="45">
        <f t="shared" si="17"/>
        <v>11.524780015512585</v>
      </c>
      <c r="U110" s="40">
        <v>45</v>
      </c>
      <c r="V110" s="6" t="s">
        <v>55</v>
      </c>
      <c r="X110" t="s">
        <v>56</v>
      </c>
      <c r="Z110" s="7" t="s">
        <v>57</v>
      </c>
      <c r="AA110" t="s">
        <v>58</v>
      </c>
    </row>
    <row r="111" spans="1:27" x14ac:dyDescent="0.25">
      <c r="A111" t="s">
        <v>228</v>
      </c>
      <c r="B111" t="s">
        <v>229</v>
      </c>
      <c r="C111" s="26">
        <v>44461</v>
      </c>
      <c r="D111" s="16">
        <v>91000</v>
      </c>
      <c r="E111" t="s">
        <v>46</v>
      </c>
      <c r="F111" t="s">
        <v>135</v>
      </c>
      <c r="G111" s="16">
        <v>91000</v>
      </c>
      <c r="H111" s="16">
        <v>15900</v>
      </c>
      <c r="I111" s="21">
        <f t="shared" si="14"/>
        <v>17.472527472527471</v>
      </c>
      <c r="J111" s="16">
        <v>50233</v>
      </c>
      <c r="K111" s="16">
        <f>G111-46333</f>
        <v>44667</v>
      </c>
      <c r="L111" s="16">
        <v>3900</v>
      </c>
      <c r="M111" s="50">
        <f t="shared" si="13"/>
        <v>4.2857142857142858E-2</v>
      </c>
      <c r="N111" s="31">
        <v>30</v>
      </c>
      <c r="O111" s="35">
        <v>100</v>
      </c>
      <c r="P111" s="40">
        <v>6.9000000000000006E-2</v>
      </c>
      <c r="Q111" s="40">
        <v>6.9000000000000006E-2</v>
      </c>
      <c r="R111" s="16">
        <f t="shared" si="15"/>
        <v>1488.9</v>
      </c>
      <c r="S111" s="16">
        <f t="shared" si="16"/>
        <v>647347.82608695643</v>
      </c>
      <c r="T111" s="45">
        <f t="shared" si="17"/>
        <v>14.861061204934721</v>
      </c>
      <c r="U111" s="40">
        <v>30</v>
      </c>
      <c r="V111" s="6" t="s">
        <v>55</v>
      </c>
      <c r="X111" t="s">
        <v>56</v>
      </c>
      <c r="Z111" s="7" t="s">
        <v>57</v>
      </c>
      <c r="AA111" t="s">
        <v>58</v>
      </c>
    </row>
    <row r="112" spans="1:27" x14ac:dyDescent="0.25">
      <c r="A112" t="s">
        <v>103</v>
      </c>
      <c r="B112" t="s">
        <v>104</v>
      </c>
      <c r="C112" s="26">
        <v>44846</v>
      </c>
      <c r="D112" s="16">
        <v>117000</v>
      </c>
      <c r="E112" t="s">
        <v>61</v>
      </c>
      <c r="F112" t="s">
        <v>47</v>
      </c>
      <c r="G112" s="16">
        <v>117000</v>
      </c>
      <c r="H112" s="16">
        <v>27600</v>
      </c>
      <c r="I112" s="21">
        <f t="shared" si="14"/>
        <v>23.589743589743588</v>
      </c>
      <c r="J112" s="16">
        <v>74111</v>
      </c>
      <c r="K112" s="16">
        <f>G112-70058</f>
        <v>46942</v>
      </c>
      <c r="L112" s="16">
        <v>4053</v>
      </c>
      <c r="M112" s="50">
        <f t="shared" si="13"/>
        <v>3.4641025641025641E-2</v>
      </c>
      <c r="N112" s="31">
        <v>31.176915000000001</v>
      </c>
      <c r="O112" s="35">
        <v>108</v>
      </c>
      <c r="P112" s="40">
        <v>7.3999999999999996E-2</v>
      </c>
      <c r="Q112" s="40">
        <v>7.3999999999999996E-2</v>
      </c>
      <c r="R112" s="16">
        <f t="shared" si="15"/>
        <v>1505.665329619688</v>
      </c>
      <c r="S112" s="16">
        <f t="shared" si="16"/>
        <v>634351.35135135136</v>
      </c>
      <c r="T112" s="45">
        <f t="shared" si="17"/>
        <v>14.562703199066835</v>
      </c>
      <c r="U112" s="40">
        <v>30</v>
      </c>
      <c r="V112" s="6" t="s">
        <v>55</v>
      </c>
      <c r="X112" t="s">
        <v>56</v>
      </c>
      <c r="Z112" s="7" t="s">
        <v>57</v>
      </c>
      <c r="AA112" t="s">
        <v>58</v>
      </c>
    </row>
    <row r="113" spans="1:27" x14ac:dyDescent="0.25">
      <c r="A113" t="s">
        <v>133</v>
      </c>
      <c r="B113" t="s">
        <v>134</v>
      </c>
      <c r="C113" s="26">
        <v>44390</v>
      </c>
      <c r="D113" s="16">
        <v>92500</v>
      </c>
      <c r="E113" t="s">
        <v>46</v>
      </c>
      <c r="F113" t="s">
        <v>135</v>
      </c>
      <c r="G113" s="16">
        <v>92500</v>
      </c>
      <c r="H113" s="16">
        <v>16100</v>
      </c>
      <c r="I113" s="21">
        <f t="shared" si="14"/>
        <v>17.405405405405403</v>
      </c>
      <c r="J113" s="16">
        <v>50980</v>
      </c>
      <c r="K113" s="16">
        <f>G113-47080</f>
        <v>45420</v>
      </c>
      <c r="L113" s="16">
        <v>3900</v>
      </c>
      <c r="M113" s="50">
        <f t="shared" si="13"/>
        <v>4.2162162162162162E-2</v>
      </c>
      <c r="N113" s="31">
        <v>30</v>
      </c>
      <c r="O113" s="35">
        <v>100</v>
      </c>
      <c r="P113" s="40">
        <v>6.9000000000000006E-2</v>
      </c>
      <c r="Q113" s="40">
        <v>6.9000000000000006E-2</v>
      </c>
      <c r="R113" s="16">
        <f t="shared" si="15"/>
        <v>1514</v>
      </c>
      <c r="S113" s="16">
        <f t="shared" si="16"/>
        <v>658260.86956521729</v>
      </c>
      <c r="T113" s="45">
        <f t="shared" si="17"/>
        <v>15.111590210404437</v>
      </c>
      <c r="U113" s="40">
        <v>30</v>
      </c>
      <c r="V113" s="6" t="s">
        <v>55</v>
      </c>
      <c r="X113" t="s">
        <v>56</v>
      </c>
      <c r="Z113" s="7" t="s">
        <v>57</v>
      </c>
      <c r="AA113" t="s">
        <v>58</v>
      </c>
    </row>
    <row r="114" spans="1:27" x14ac:dyDescent="0.25">
      <c r="A114" t="s">
        <v>294</v>
      </c>
      <c r="B114" t="s">
        <v>295</v>
      </c>
      <c r="C114" s="26">
        <v>44620</v>
      </c>
      <c r="D114" s="16">
        <v>120000</v>
      </c>
      <c r="E114" t="s">
        <v>46</v>
      </c>
      <c r="F114" t="s">
        <v>47</v>
      </c>
      <c r="G114" s="16">
        <v>120000</v>
      </c>
      <c r="H114" s="16">
        <v>23200</v>
      </c>
      <c r="I114" s="21">
        <f t="shared" si="14"/>
        <v>19.333333333333332</v>
      </c>
      <c r="J114" s="16">
        <v>77518</v>
      </c>
      <c r="K114" s="16">
        <f>G114-73618</f>
        <v>46382</v>
      </c>
      <c r="L114" s="16">
        <v>3900</v>
      </c>
      <c r="M114" s="50">
        <f t="shared" si="13"/>
        <v>3.2500000000000001E-2</v>
      </c>
      <c r="N114" s="31">
        <v>30</v>
      </c>
      <c r="O114" s="35">
        <v>100</v>
      </c>
      <c r="P114" s="40">
        <v>6.9000000000000006E-2</v>
      </c>
      <c r="Q114" s="40">
        <v>6.9000000000000006E-2</v>
      </c>
      <c r="R114" s="16">
        <f t="shared" si="15"/>
        <v>1546.0666666666666</v>
      </c>
      <c r="S114" s="16">
        <f t="shared" si="16"/>
        <v>672202.89855072461</v>
      </c>
      <c r="T114" s="45">
        <f t="shared" si="17"/>
        <v>15.431655154975312</v>
      </c>
      <c r="U114" s="40">
        <v>30</v>
      </c>
      <c r="V114" s="6" t="s">
        <v>55</v>
      </c>
      <c r="X114" t="s">
        <v>56</v>
      </c>
      <c r="Z114" s="7" t="s">
        <v>57</v>
      </c>
      <c r="AA114" t="s">
        <v>58</v>
      </c>
    </row>
    <row r="115" spans="1:27" x14ac:dyDescent="0.25">
      <c r="A115" t="s">
        <v>268</v>
      </c>
      <c r="B115" t="s">
        <v>269</v>
      </c>
      <c r="C115" s="26">
        <v>44589</v>
      </c>
      <c r="D115" s="16">
        <v>120000</v>
      </c>
      <c r="E115" t="s">
        <v>46</v>
      </c>
      <c r="F115" t="s">
        <v>47</v>
      </c>
      <c r="G115" s="16">
        <v>120000</v>
      </c>
      <c r="H115" s="16">
        <v>21000</v>
      </c>
      <c r="I115" s="21">
        <f t="shared" si="14"/>
        <v>17.5</v>
      </c>
      <c r="J115" s="16">
        <v>70671</v>
      </c>
      <c r="K115" s="16">
        <f>G115-66311</f>
        <v>53689</v>
      </c>
      <c r="L115" s="16">
        <v>4360</v>
      </c>
      <c r="M115" s="50">
        <f t="shared" si="13"/>
        <v>3.6333333333333336E-2</v>
      </c>
      <c r="N115" s="31">
        <v>33.541020000000003</v>
      </c>
      <c r="O115" s="35">
        <v>100</v>
      </c>
      <c r="P115" s="40">
        <v>8.5999999999999993E-2</v>
      </c>
      <c r="Q115" s="40">
        <v>8.5999999999999993E-2</v>
      </c>
      <c r="R115" s="16">
        <f t="shared" si="15"/>
        <v>1600.6966991462989</v>
      </c>
      <c r="S115" s="16">
        <f t="shared" si="16"/>
        <v>624290.69767441868</v>
      </c>
      <c r="T115" s="45">
        <f t="shared" si="17"/>
        <v>14.331742370854423</v>
      </c>
      <c r="U115" s="40">
        <v>37.5</v>
      </c>
      <c r="V115" s="6" t="s">
        <v>55</v>
      </c>
      <c r="X115" t="s">
        <v>56</v>
      </c>
      <c r="Z115" s="7" t="s">
        <v>57</v>
      </c>
      <c r="AA115" t="s">
        <v>58</v>
      </c>
    </row>
    <row r="116" spans="1:27" ht="15.75" thickBot="1" x14ac:dyDescent="0.3">
      <c r="A116" t="s">
        <v>270</v>
      </c>
      <c r="B116" t="s">
        <v>271</v>
      </c>
      <c r="C116" s="26">
        <v>44698</v>
      </c>
      <c r="D116" s="16">
        <v>151000</v>
      </c>
      <c r="E116" t="s">
        <v>46</v>
      </c>
      <c r="F116" t="s">
        <v>47</v>
      </c>
      <c r="G116" s="16">
        <v>151000</v>
      </c>
      <c r="H116" s="16">
        <v>32600</v>
      </c>
      <c r="I116" s="21">
        <f t="shared" si="14"/>
        <v>21.589403973509931</v>
      </c>
      <c r="J116" s="16">
        <v>86982</v>
      </c>
      <c r="K116" s="16">
        <f>G116-81467</f>
        <v>69533</v>
      </c>
      <c r="L116" s="16">
        <v>5515</v>
      </c>
      <c r="M116" s="50">
        <f t="shared" si="13"/>
        <v>3.6523178807947018E-2</v>
      </c>
      <c r="N116" s="31">
        <v>42.426406999999998</v>
      </c>
      <c r="O116" s="35">
        <v>100</v>
      </c>
      <c r="P116" s="40">
        <v>0.13800000000000001</v>
      </c>
      <c r="Q116" s="40">
        <v>0.13800000000000001</v>
      </c>
      <c r="R116" s="16">
        <f t="shared" si="15"/>
        <v>1638.9085222323918</v>
      </c>
      <c r="S116" s="16">
        <f t="shared" si="16"/>
        <v>503862.31884057965</v>
      </c>
      <c r="T116" s="45">
        <f t="shared" si="17"/>
        <v>11.567087209379698</v>
      </c>
      <c r="U116" s="40">
        <v>60</v>
      </c>
      <c r="V116" s="6" t="s">
        <v>55</v>
      </c>
      <c r="X116" t="s">
        <v>56</v>
      </c>
      <c r="Z116" s="7" t="s">
        <v>57</v>
      </c>
      <c r="AA116" t="s">
        <v>58</v>
      </c>
    </row>
    <row r="117" spans="1:27" ht="15.75" thickTop="1" x14ac:dyDescent="0.25">
      <c r="A117" s="9"/>
      <c r="B117" s="9"/>
      <c r="C117" s="27" t="s">
        <v>348</v>
      </c>
      <c r="D117" s="17">
        <f>+SUM(D3:D116)</f>
        <v>8098752</v>
      </c>
      <c r="E117" s="9"/>
      <c r="F117" s="9"/>
      <c r="G117" s="17">
        <f>+SUM(G3:G116)</f>
        <v>8098752</v>
      </c>
      <c r="H117" s="17">
        <f>+SUM(H3:H116)</f>
        <v>2335100</v>
      </c>
      <c r="I117" s="22"/>
      <c r="J117" s="17">
        <f>+SUM(J3:J116)</f>
        <v>6880067</v>
      </c>
      <c r="K117" s="17">
        <f>+SUM(K3:K116)</f>
        <v>1762684</v>
      </c>
      <c r="L117" s="17">
        <f>+SUM(L3:L116)</f>
        <v>543999</v>
      </c>
      <c r="M117" s="51">
        <f>AVERAGE(M3:M116)</f>
        <v>7.9225762324324239E-2</v>
      </c>
      <c r="N117" s="32">
        <f>+SUM(N3:N116)</f>
        <v>4192.1835570000003</v>
      </c>
      <c r="O117" s="36"/>
      <c r="P117" s="41">
        <f>+SUM(P3:P116)</f>
        <v>11.177000000000001</v>
      </c>
      <c r="Q117" s="41">
        <f>+SUM(Q3:Q116)</f>
        <v>10.416</v>
      </c>
      <c r="R117" s="17"/>
      <c r="S117" s="17"/>
      <c r="T117" s="46"/>
      <c r="U117" s="41"/>
      <c r="V117" s="10"/>
      <c r="W117" s="9"/>
      <c r="X117" s="9"/>
      <c r="Y117" s="9"/>
      <c r="Z117" s="9"/>
      <c r="AA117" s="9"/>
    </row>
    <row r="118" spans="1:27" x14ac:dyDescent="0.25">
      <c r="A118" s="11"/>
      <c r="B118" s="11"/>
      <c r="C118" s="28"/>
      <c r="D118" s="18"/>
      <c r="E118" s="11"/>
      <c r="F118" s="11"/>
      <c r="G118" s="18"/>
      <c r="H118" s="18" t="s">
        <v>349</v>
      </c>
      <c r="I118" s="23">
        <f>H117/G117*100</f>
        <v>28.832837454462119</v>
      </c>
      <c r="J118" s="18"/>
      <c r="K118" s="18"/>
      <c r="L118" s="18" t="s">
        <v>350</v>
      </c>
      <c r="M118" s="18"/>
      <c r="N118" s="33"/>
      <c r="O118" s="37"/>
      <c r="P118" s="42" t="s">
        <v>350</v>
      </c>
      <c r="Q118" s="42"/>
      <c r="R118" s="18"/>
      <c r="S118" s="18" t="s">
        <v>350</v>
      </c>
      <c r="T118" s="47"/>
      <c r="U118" s="42"/>
      <c r="V118" s="12"/>
      <c r="W118" s="11"/>
      <c r="X118" s="11"/>
      <c r="Y118" s="11"/>
      <c r="Z118" s="11"/>
      <c r="AA118" s="11"/>
    </row>
    <row r="119" spans="1:27" x14ac:dyDescent="0.25">
      <c r="A119" s="13"/>
      <c r="B119" s="13"/>
      <c r="C119" s="29"/>
      <c r="D119" s="19"/>
      <c r="E119" s="13"/>
      <c r="F119" s="13"/>
      <c r="G119" s="19"/>
      <c r="H119" s="19" t="s">
        <v>351</v>
      </c>
      <c r="I119" s="24">
        <f>STDEV(I3:I116)</f>
        <v>11.852553556377334</v>
      </c>
      <c r="J119" s="19"/>
      <c r="K119" s="19"/>
      <c r="L119" s="19" t="s">
        <v>352</v>
      </c>
      <c r="M119" s="19"/>
      <c r="N119" s="49">
        <f>K117/N117</f>
        <v>420.46918414550709</v>
      </c>
      <c r="O119" s="38"/>
      <c r="P119" s="43" t="s">
        <v>353</v>
      </c>
      <c r="Q119" s="43">
        <f>K117/P117</f>
        <v>157706.36127762368</v>
      </c>
      <c r="R119" s="19"/>
      <c r="S119" s="19" t="s">
        <v>354</v>
      </c>
      <c r="T119" s="48">
        <f>K117/P117/43560</f>
        <v>3.6204398824064206</v>
      </c>
      <c r="U119" s="43"/>
      <c r="V119" s="14"/>
      <c r="W119" s="13"/>
      <c r="X119" s="13"/>
      <c r="Y119" s="13"/>
      <c r="Z119" s="13"/>
      <c r="AA119" s="13"/>
    </row>
    <row r="120" spans="1:27" x14ac:dyDescent="0.25">
      <c r="A120" s="11"/>
      <c r="B120" s="11"/>
      <c r="C120" s="28"/>
      <c r="D120" s="18"/>
      <c r="E120" s="11"/>
      <c r="F120" s="11"/>
      <c r="G120" s="18"/>
      <c r="H120" s="18"/>
      <c r="I120" s="23"/>
      <c r="J120" s="18"/>
      <c r="K120" s="55" t="s">
        <v>362</v>
      </c>
      <c r="L120" s="55"/>
      <c r="M120" s="55"/>
      <c r="N120" s="52"/>
      <c r="O120" s="37"/>
      <c r="P120" s="42"/>
      <c r="Q120" s="42"/>
      <c r="R120" s="18"/>
      <c r="S120" s="18"/>
      <c r="T120" s="47"/>
      <c r="U120" s="42"/>
      <c r="V120" s="12"/>
      <c r="W120" s="11"/>
      <c r="X120" s="11"/>
      <c r="Y120" s="11"/>
      <c r="Z120" s="11"/>
      <c r="AA120" s="11"/>
    </row>
    <row r="121" spans="1:27" x14ac:dyDescent="0.25">
      <c r="A121" s="11"/>
      <c r="B121" s="11"/>
      <c r="C121" s="28"/>
      <c r="D121" s="18"/>
      <c r="E121" s="11"/>
      <c r="F121" s="11"/>
      <c r="G121" s="18"/>
      <c r="H121" s="18"/>
      <c r="I121" s="23"/>
      <c r="J121" s="18"/>
      <c r="K121" s="55" t="s">
        <v>364</v>
      </c>
      <c r="L121" s="55"/>
      <c r="M121" s="55"/>
      <c r="N121" s="52"/>
      <c r="O121" s="37"/>
      <c r="P121" s="42"/>
      <c r="Q121" s="42"/>
      <c r="R121" s="18"/>
      <c r="S121" s="18"/>
      <c r="T121" s="47"/>
      <c r="U121" s="42"/>
      <c r="V121" s="12"/>
      <c r="W121" s="11"/>
      <c r="X121" s="11"/>
      <c r="Y121" s="11"/>
      <c r="Z121" s="11"/>
      <c r="AA121" s="11"/>
    </row>
    <row r="122" spans="1:27" x14ac:dyDescent="0.25">
      <c r="A122" s="1" t="s">
        <v>356</v>
      </c>
    </row>
    <row r="123" spans="1:27" x14ac:dyDescent="0.25">
      <c r="A123" t="s">
        <v>338</v>
      </c>
      <c r="B123" t="s">
        <v>339</v>
      </c>
      <c r="C123" s="26">
        <v>44924</v>
      </c>
      <c r="D123" s="16">
        <v>105000</v>
      </c>
      <c r="E123" t="s">
        <v>46</v>
      </c>
      <c r="F123" t="s">
        <v>47</v>
      </c>
      <c r="G123" s="16">
        <v>105000</v>
      </c>
      <c r="H123" s="16">
        <v>17200</v>
      </c>
      <c r="I123" s="21">
        <f>H123/G123*100</f>
        <v>16.380952380952383</v>
      </c>
      <c r="J123" s="16">
        <v>48324</v>
      </c>
      <c r="K123" s="16">
        <f>G123-44234</f>
        <v>60766</v>
      </c>
      <c r="L123" s="16">
        <v>4090</v>
      </c>
      <c r="N123" s="31">
        <v>31.464265000000001</v>
      </c>
      <c r="O123" s="35">
        <v>110</v>
      </c>
      <c r="P123" s="40">
        <v>7.5999999999999998E-2</v>
      </c>
      <c r="Q123" s="40">
        <v>7.5999999999999998E-2</v>
      </c>
      <c r="R123" s="16">
        <f>K123/N123</f>
        <v>1931.2702839236829</v>
      </c>
      <c r="S123" s="16">
        <f>K123/P123</f>
        <v>799552.63157894742</v>
      </c>
      <c r="T123" s="45">
        <f>K123/P123/43560</f>
        <v>18.355202745154898</v>
      </c>
      <c r="U123" s="40">
        <v>30</v>
      </c>
      <c r="V123" s="6" t="s">
        <v>55</v>
      </c>
      <c r="X123" t="s">
        <v>56</v>
      </c>
      <c r="Z123" s="7" t="s">
        <v>57</v>
      </c>
      <c r="AA123" t="s">
        <v>58</v>
      </c>
    </row>
    <row r="124" spans="1:27" x14ac:dyDescent="0.25">
      <c r="A124" t="s">
        <v>186</v>
      </c>
      <c r="B124" t="s">
        <v>187</v>
      </c>
      <c r="C124" s="26">
        <v>44601</v>
      </c>
      <c r="D124" s="16">
        <v>124900</v>
      </c>
      <c r="E124" t="s">
        <v>46</v>
      </c>
      <c r="F124" t="s">
        <v>47</v>
      </c>
      <c r="G124" s="16">
        <v>124900</v>
      </c>
      <c r="H124" s="16">
        <v>19700</v>
      </c>
      <c r="I124" s="21">
        <f>H124/G124*100</f>
        <v>15.772618094475579</v>
      </c>
      <c r="J124" s="16">
        <v>62791</v>
      </c>
      <c r="K124" s="16">
        <f>G124-58701</f>
        <v>66199</v>
      </c>
      <c r="L124" s="16">
        <v>4090</v>
      </c>
      <c r="N124" s="31">
        <v>31.464265000000001</v>
      </c>
      <c r="O124" s="35">
        <v>110</v>
      </c>
      <c r="P124" s="40">
        <v>7.5999999999999998E-2</v>
      </c>
      <c r="Q124" s="40">
        <v>7.5999999999999998E-2</v>
      </c>
      <c r="R124" s="16">
        <f>K124/N124</f>
        <v>2103.9423612787396</v>
      </c>
      <c r="S124" s="16">
        <f>K124/P124</f>
        <v>871039.47368421056</v>
      </c>
      <c r="T124" s="45">
        <f>K124/P124/43560</f>
        <v>19.996314822869849</v>
      </c>
      <c r="U124" s="40">
        <v>30</v>
      </c>
      <c r="V124" s="6" t="s">
        <v>55</v>
      </c>
      <c r="X124" t="s">
        <v>56</v>
      </c>
      <c r="Z124" s="7" t="s">
        <v>57</v>
      </c>
      <c r="AA124" t="s">
        <v>58</v>
      </c>
    </row>
    <row r="125" spans="1:27" x14ac:dyDescent="0.25">
      <c r="A125" t="s">
        <v>258</v>
      </c>
      <c r="B125" t="s">
        <v>259</v>
      </c>
      <c r="C125" s="26">
        <v>44830</v>
      </c>
      <c r="D125" s="16">
        <v>122000</v>
      </c>
      <c r="E125" t="s">
        <v>46</v>
      </c>
      <c r="F125" t="s">
        <v>47</v>
      </c>
      <c r="G125" s="16">
        <v>122000</v>
      </c>
      <c r="H125" s="16">
        <v>19400</v>
      </c>
      <c r="I125" s="21">
        <f>H125/G125*100</f>
        <v>15.901639344262295</v>
      </c>
      <c r="J125" s="16">
        <v>51922</v>
      </c>
      <c r="K125" s="16">
        <f>G125-46546</f>
        <v>75454</v>
      </c>
      <c r="L125" s="16">
        <v>5376</v>
      </c>
      <c r="N125" s="31">
        <v>41.352145999999998</v>
      </c>
      <c r="O125" s="35">
        <v>95</v>
      </c>
      <c r="P125" s="40">
        <v>0.13100000000000001</v>
      </c>
      <c r="Q125" s="40">
        <v>0.13100000000000001</v>
      </c>
      <c r="R125" s="16">
        <f>K125/N125</f>
        <v>1824.6695105013414</v>
      </c>
      <c r="S125" s="16">
        <f>K125/P125</f>
        <v>575984.73282442742</v>
      </c>
      <c r="T125" s="45">
        <f>K125/P125/43560</f>
        <v>13.222790009743512</v>
      </c>
      <c r="U125" s="40">
        <v>60</v>
      </c>
      <c r="V125" s="6" t="s">
        <v>55</v>
      </c>
      <c r="X125" t="s">
        <v>56</v>
      </c>
      <c r="Z125" s="7" t="s">
        <v>57</v>
      </c>
      <c r="AA125" t="s">
        <v>58</v>
      </c>
    </row>
    <row r="126" spans="1:27" x14ac:dyDescent="0.25">
      <c r="A126" t="s">
        <v>232</v>
      </c>
      <c r="B126" t="s">
        <v>233</v>
      </c>
      <c r="C126" s="26">
        <v>44832</v>
      </c>
      <c r="D126" s="16">
        <v>107500</v>
      </c>
      <c r="E126" t="s">
        <v>46</v>
      </c>
      <c r="F126" t="s">
        <v>47</v>
      </c>
      <c r="G126" s="16">
        <v>107500</v>
      </c>
      <c r="H126" s="16">
        <v>20100</v>
      </c>
      <c r="I126" s="21">
        <f>H126/G126*100</f>
        <v>18.697674418604652</v>
      </c>
      <c r="J126" s="16">
        <v>56619</v>
      </c>
      <c r="K126" s="16">
        <f>G126-52719</f>
        <v>54781</v>
      </c>
      <c r="L126" s="16">
        <v>3900</v>
      </c>
      <c r="N126" s="31">
        <v>30</v>
      </c>
      <c r="O126" s="35">
        <v>100</v>
      </c>
      <c r="P126" s="40">
        <v>6.9000000000000006E-2</v>
      </c>
      <c r="Q126" s="40">
        <v>6.9000000000000006E-2</v>
      </c>
      <c r="R126" s="16">
        <f>K126/N126</f>
        <v>1826.0333333333333</v>
      </c>
      <c r="S126" s="16">
        <f>K126/P126</f>
        <v>793927.53623188403</v>
      </c>
      <c r="T126" s="45">
        <f>K126/P126/43560</f>
        <v>18.226068324882554</v>
      </c>
      <c r="U126" s="40">
        <v>30</v>
      </c>
      <c r="V126" s="6" t="s">
        <v>55</v>
      </c>
      <c r="X126" t="s">
        <v>56</v>
      </c>
      <c r="Z126" s="7" t="s">
        <v>57</v>
      </c>
      <c r="AA126" t="s">
        <v>58</v>
      </c>
    </row>
    <row r="127" spans="1:27" x14ac:dyDescent="0.25">
      <c r="A127" t="s">
        <v>203</v>
      </c>
      <c r="B127" t="s">
        <v>204</v>
      </c>
      <c r="C127" s="26">
        <v>44722</v>
      </c>
      <c r="D127" s="16">
        <v>100000</v>
      </c>
      <c r="E127" t="s">
        <v>61</v>
      </c>
      <c r="F127" t="s">
        <v>47</v>
      </c>
      <c r="G127" s="16">
        <v>100000</v>
      </c>
      <c r="H127" s="16">
        <v>17600</v>
      </c>
      <c r="I127" s="21">
        <f>H127/G127*100</f>
        <v>17.599999999999998</v>
      </c>
      <c r="J127" s="16">
        <v>49085</v>
      </c>
      <c r="K127" s="16">
        <f>G127-45185</f>
        <v>54815</v>
      </c>
      <c r="L127" s="16">
        <v>3900</v>
      </c>
      <c r="N127" s="31">
        <v>30</v>
      </c>
      <c r="O127" s="35">
        <v>100</v>
      </c>
      <c r="P127" s="40">
        <v>6.9000000000000006E-2</v>
      </c>
      <c r="Q127" s="40">
        <v>6.9000000000000006E-2</v>
      </c>
      <c r="R127" s="16">
        <f>K127/N127</f>
        <v>1827.1666666666667</v>
      </c>
      <c r="S127" s="16">
        <f>K127/P127</f>
        <v>794420.28985507239</v>
      </c>
      <c r="T127" s="45">
        <f>K127/P127/43560</f>
        <v>18.237380391530589</v>
      </c>
      <c r="U127" s="40">
        <v>30</v>
      </c>
      <c r="V127" s="6" t="s">
        <v>55</v>
      </c>
      <c r="X127" t="s">
        <v>56</v>
      </c>
      <c r="Z127" s="7" t="s">
        <v>57</v>
      </c>
      <c r="AA127" t="s">
        <v>58</v>
      </c>
    </row>
    <row r="130" spans="1:45" x14ac:dyDescent="0.25">
      <c r="A130" t="s">
        <v>357</v>
      </c>
    </row>
    <row r="131" spans="1:45" x14ac:dyDescent="0.25">
      <c r="A131" s="2" t="s">
        <v>0</v>
      </c>
      <c r="B131" s="2" t="s">
        <v>1</v>
      </c>
      <c r="C131" s="25" t="s">
        <v>2</v>
      </c>
      <c r="D131" s="15" t="s">
        <v>3</v>
      </c>
      <c r="E131" s="2" t="s">
        <v>4</v>
      </c>
      <c r="F131" s="2" t="s">
        <v>5</v>
      </c>
      <c r="G131" s="15" t="s">
        <v>6</v>
      </c>
      <c r="H131" s="15" t="s">
        <v>7</v>
      </c>
      <c r="I131" s="20" t="s">
        <v>8</v>
      </c>
      <c r="J131" s="15" t="s">
        <v>9</v>
      </c>
      <c r="K131" s="15" t="s">
        <v>10</v>
      </c>
      <c r="L131" s="15" t="s">
        <v>11</v>
      </c>
      <c r="M131" s="15" t="s">
        <v>355</v>
      </c>
      <c r="N131" s="30" t="s">
        <v>12</v>
      </c>
      <c r="O131" s="34" t="s">
        <v>13</v>
      </c>
      <c r="P131" s="39" t="s">
        <v>14</v>
      </c>
      <c r="Q131" s="39" t="s">
        <v>15</v>
      </c>
      <c r="R131" s="15" t="s">
        <v>16</v>
      </c>
      <c r="S131" s="15" t="s">
        <v>17</v>
      </c>
      <c r="T131" s="44" t="s">
        <v>18</v>
      </c>
      <c r="U131" s="39" t="s">
        <v>19</v>
      </c>
      <c r="V131" s="4" t="s">
        <v>20</v>
      </c>
      <c r="W131" s="2" t="s">
        <v>22</v>
      </c>
      <c r="X131" s="2" t="s">
        <v>23</v>
      </c>
      <c r="Y131" s="2" t="s">
        <v>27</v>
      </c>
      <c r="Z131" s="2" t="s">
        <v>28</v>
      </c>
      <c r="AA131" s="2" t="s">
        <v>29</v>
      </c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x14ac:dyDescent="0.25">
      <c r="A132" t="s">
        <v>78</v>
      </c>
      <c r="B132" t="s">
        <v>79</v>
      </c>
      <c r="C132" s="26">
        <v>44417</v>
      </c>
      <c r="D132" s="16">
        <v>130500</v>
      </c>
      <c r="E132" t="s">
        <v>61</v>
      </c>
      <c r="F132" t="s">
        <v>47</v>
      </c>
      <c r="G132" s="16">
        <v>130500</v>
      </c>
      <c r="H132" s="16">
        <v>29500</v>
      </c>
      <c r="I132" s="21">
        <f>H132/G132*100</f>
        <v>22.60536398467433</v>
      </c>
      <c r="J132" s="16">
        <v>98254</v>
      </c>
      <c r="K132" s="16">
        <f>G132-95001</f>
        <v>35499</v>
      </c>
      <c r="L132" s="16">
        <v>3253</v>
      </c>
      <c r="M132" s="50">
        <f>L132/D132</f>
        <v>2.4927203065134098E-2</v>
      </c>
      <c r="N132" s="31">
        <v>43.379170999999999</v>
      </c>
      <c r="O132" s="35">
        <v>164.51499899999999</v>
      </c>
      <c r="P132" s="40">
        <v>0.158</v>
      </c>
      <c r="Q132" s="40">
        <v>0.158</v>
      </c>
      <c r="R132" s="16">
        <f>K132/N132</f>
        <v>818.34205637539731</v>
      </c>
      <c r="S132" s="16">
        <f>K132/P132</f>
        <v>224677.21518987342</v>
      </c>
      <c r="T132" s="45">
        <f>K132/P132/43560</f>
        <v>5.1578791365902985</v>
      </c>
      <c r="U132" s="40">
        <v>41.94</v>
      </c>
      <c r="V132" s="6" t="s">
        <v>80</v>
      </c>
      <c r="X132" t="s">
        <v>81</v>
      </c>
      <c r="Z132" s="7" t="s">
        <v>57</v>
      </c>
      <c r="AA132" t="s">
        <v>82</v>
      </c>
    </row>
    <row r="133" spans="1:45" x14ac:dyDescent="0.25">
      <c r="A133" t="s">
        <v>83</v>
      </c>
      <c r="B133" t="s">
        <v>84</v>
      </c>
      <c r="C133" s="26">
        <v>44757</v>
      </c>
      <c r="D133" s="16">
        <v>27747</v>
      </c>
      <c r="E133" t="s">
        <v>61</v>
      </c>
      <c r="F133" t="s">
        <v>47</v>
      </c>
      <c r="G133" s="16">
        <v>27747</v>
      </c>
      <c r="H133" s="16">
        <v>14000</v>
      </c>
      <c r="I133" s="21">
        <f>H133/G133*100</f>
        <v>50.455905142898331</v>
      </c>
      <c r="J133" s="16">
        <v>39367</v>
      </c>
      <c r="K133" s="16">
        <f>G133-36653</f>
        <v>-8906</v>
      </c>
      <c r="L133" s="16">
        <v>2714</v>
      </c>
      <c r="M133" s="50">
        <f t="shared" ref="M133:M136" si="18">L133/D133</f>
        <v>9.7812376112732913E-2</v>
      </c>
      <c r="N133" s="31">
        <v>36.181361000000003</v>
      </c>
      <c r="O133" s="35">
        <v>160</v>
      </c>
      <c r="P133" s="40">
        <v>0.11</v>
      </c>
      <c r="Q133" s="40">
        <v>0.11</v>
      </c>
      <c r="R133" s="16">
        <f>K133/N133</f>
        <v>-246.14883890078096</v>
      </c>
      <c r="S133" s="16">
        <f>K133/P133</f>
        <v>-80963.636363636368</v>
      </c>
      <c r="T133" s="45">
        <f>K133/P133/43560</f>
        <v>-1.8586693380081811</v>
      </c>
      <c r="U133" s="40">
        <v>30</v>
      </c>
      <c r="V133" s="6" t="s">
        <v>80</v>
      </c>
      <c r="X133" t="s">
        <v>81</v>
      </c>
      <c r="Z133" s="7" t="s">
        <v>57</v>
      </c>
      <c r="AA133" t="s">
        <v>82</v>
      </c>
    </row>
    <row r="134" spans="1:45" x14ac:dyDescent="0.25">
      <c r="A134" t="s">
        <v>83</v>
      </c>
      <c r="B134" t="s">
        <v>84</v>
      </c>
      <c r="C134" s="26">
        <v>44651</v>
      </c>
      <c r="D134" s="16">
        <v>30000</v>
      </c>
      <c r="E134" t="s">
        <v>85</v>
      </c>
      <c r="F134" t="s">
        <v>47</v>
      </c>
      <c r="G134" s="16">
        <v>30000</v>
      </c>
      <c r="H134" s="16">
        <v>11600</v>
      </c>
      <c r="I134" s="21">
        <f>H134/G134*100</f>
        <v>38.666666666666664</v>
      </c>
      <c r="J134" s="16">
        <v>39367</v>
      </c>
      <c r="K134" s="16">
        <f>G134-36653</f>
        <v>-6653</v>
      </c>
      <c r="L134" s="16">
        <v>2714</v>
      </c>
      <c r="M134" s="50">
        <f t="shared" si="18"/>
        <v>9.0466666666666667E-2</v>
      </c>
      <c r="N134" s="31">
        <v>36.181361000000003</v>
      </c>
      <c r="O134" s="35">
        <v>160</v>
      </c>
      <c r="P134" s="40">
        <v>0.11</v>
      </c>
      <c r="Q134" s="40">
        <v>0.11</v>
      </c>
      <c r="R134" s="16">
        <f>K134/N134</f>
        <v>-183.87920786064404</v>
      </c>
      <c r="S134" s="16">
        <f>K134/P134</f>
        <v>-60481.818181818184</v>
      </c>
      <c r="T134" s="45">
        <f>K134/P134/43560</f>
        <v>-1.3884714917772769</v>
      </c>
      <c r="U134" s="40">
        <v>30</v>
      </c>
      <c r="V134" s="6" t="s">
        <v>80</v>
      </c>
      <c r="X134" t="s">
        <v>81</v>
      </c>
      <c r="Z134" s="7" t="s">
        <v>57</v>
      </c>
      <c r="AA134" t="s">
        <v>82</v>
      </c>
    </row>
    <row r="135" spans="1:45" x14ac:dyDescent="0.25">
      <c r="A135" t="s">
        <v>86</v>
      </c>
      <c r="B135" t="s">
        <v>87</v>
      </c>
      <c r="C135" s="26">
        <v>44693</v>
      </c>
      <c r="D135" s="16">
        <v>103000</v>
      </c>
      <c r="E135" t="s">
        <v>46</v>
      </c>
      <c r="F135" t="s">
        <v>88</v>
      </c>
      <c r="G135" s="16">
        <v>103000</v>
      </c>
      <c r="H135" s="16">
        <v>32400</v>
      </c>
      <c r="I135" s="21">
        <f>H135/G135*100</f>
        <v>31.456310679611647</v>
      </c>
      <c r="J135" s="16">
        <v>91635</v>
      </c>
      <c r="K135" s="16">
        <f>G135-89490</f>
        <v>13510</v>
      </c>
      <c r="L135" s="16">
        <v>2145</v>
      </c>
      <c r="M135" s="50">
        <f t="shared" si="18"/>
        <v>2.0825242718446602E-2</v>
      </c>
      <c r="N135" s="31">
        <v>28.603878000000002</v>
      </c>
      <c r="O135" s="35">
        <v>100</v>
      </c>
      <c r="P135" s="40">
        <v>6.9000000000000006E-2</v>
      </c>
      <c r="Q135" s="40">
        <v>6.9000000000000006E-2</v>
      </c>
      <c r="R135" s="16">
        <f>K135/N135</f>
        <v>472.31357929858319</v>
      </c>
      <c r="S135" s="16">
        <f>K135/P135</f>
        <v>195797.10144927536</v>
      </c>
      <c r="T135" s="45">
        <f>K135/P135/43560</f>
        <v>4.4948829533809773</v>
      </c>
      <c r="U135" s="40">
        <v>30</v>
      </c>
      <c r="V135" s="6" t="s">
        <v>80</v>
      </c>
      <c r="X135" t="s">
        <v>81</v>
      </c>
      <c r="Z135" s="7" t="s">
        <v>57</v>
      </c>
      <c r="AA135" t="s">
        <v>82</v>
      </c>
    </row>
    <row r="136" spans="1:45" ht="15.75" thickBot="1" x14ac:dyDescent="0.3">
      <c r="A136" t="s">
        <v>89</v>
      </c>
      <c r="B136" t="s">
        <v>90</v>
      </c>
      <c r="C136" s="26">
        <v>44370</v>
      </c>
      <c r="D136" s="16">
        <v>50000</v>
      </c>
      <c r="E136" t="s">
        <v>46</v>
      </c>
      <c r="F136" t="s">
        <v>47</v>
      </c>
      <c r="G136" s="16">
        <v>50000</v>
      </c>
      <c r="H136" s="16">
        <v>12900</v>
      </c>
      <c r="I136" s="21">
        <f>H136/G136*100</f>
        <v>25.8</v>
      </c>
      <c r="J136" s="16">
        <v>43904</v>
      </c>
      <c r="K136" s="16">
        <f>G136-41524</f>
        <v>8476</v>
      </c>
      <c r="L136" s="16">
        <v>2380</v>
      </c>
      <c r="M136" s="50">
        <f t="shared" si="18"/>
        <v>4.7600000000000003E-2</v>
      </c>
      <c r="N136" s="31">
        <v>31.734196000000001</v>
      </c>
      <c r="O136" s="35">
        <v>111.760002</v>
      </c>
      <c r="P136" s="40">
        <v>8.5000000000000006E-2</v>
      </c>
      <c r="Q136" s="40">
        <v>8.5000000000000006E-2</v>
      </c>
      <c r="R136" s="16">
        <f>K136/N136</f>
        <v>267.0935794308449</v>
      </c>
      <c r="S136" s="16">
        <f>K136/P136</f>
        <v>99717.647058823524</v>
      </c>
      <c r="T136" s="45">
        <f>K136/P136/43560</f>
        <v>2.2892021822503104</v>
      </c>
      <c r="U136" s="40">
        <v>33.04</v>
      </c>
      <c r="V136" s="6" t="s">
        <v>80</v>
      </c>
      <c r="X136" t="s">
        <v>81</v>
      </c>
      <c r="Z136" s="7" t="s">
        <v>57</v>
      </c>
      <c r="AA136" t="s">
        <v>82</v>
      </c>
    </row>
    <row r="137" spans="1:45" ht="15.75" thickTop="1" x14ac:dyDescent="0.25">
      <c r="A137" s="9"/>
      <c r="B137" s="9"/>
      <c r="C137" s="27" t="s">
        <v>348</v>
      </c>
      <c r="D137" s="17">
        <f>+SUM(D132:D136)</f>
        <v>341247</v>
      </c>
      <c r="E137" s="9"/>
      <c r="F137" s="9"/>
      <c r="G137" s="17">
        <f>+SUM(G132:G136)</f>
        <v>341247</v>
      </c>
      <c r="H137" s="17">
        <f>+SUM(H132:H136)</f>
        <v>100400</v>
      </c>
      <c r="I137" s="22"/>
      <c r="J137" s="17">
        <f>+SUM(J132:J136)</f>
        <v>312527</v>
      </c>
      <c r="K137" s="17">
        <f>+SUM(K132:K136)</f>
        <v>41926</v>
      </c>
      <c r="L137" s="17">
        <f>+SUM(L132:L136)</f>
        <v>13206</v>
      </c>
      <c r="M137" s="51">
        <f>AVERAGE(M132:M136)</f>
        <v>5.6326297712596049E-2</v>
      </c>
      <c r="N137" s="32">
        <f>+SUM(N132:N136)</f>
        <v>176.07996700000001</v>
      </c>
      <c r="O137" s="36"/>
      <c r="P137" s="41">
        <f>+SUM(P132:P136)</f>
        <v>0.53200000000000003</v>
      </c>
      <c r="Q137" s="41">
        <f>+SUM(Q132:Q136)</f>
        <v>0.53200000000000003</v>
      </c>
      <c r="R137" s="17"/>
      <c r="S137" s="17"/>
      <c r="T137" s="46"/>
      <c r="U137" s="41"/>
      <c r="V137" s="10"/>
      <c r="W137" s="9"/>
      <c r="X137" s="9"/>
      <c r="Y137" s="9"/>
      <c r="Z137" s="9"/>
      <c r="AA137" s="9"/>
    </row>
    <row r="138" spans="1:45" x14ac:dyDescent="0.25">
      <c r="A138" s="11"/>
      <c r="B138" s="11"/>
      <c r="C138" s="28"/>
      <c r="D138" s="18"/>
      <c r="E138" s="11"/>
      <c r="F138" s="11"/>
      <c r="G138" s="18"/>
      <c r="H138" s="18" t="s">
        <v>349</v>
      </c>
      <c r="I138" s="23">
        <f>H137/G137*100</f>
        <v>29.421504071830668</v>
      </c>
      <c r="J138" s="18"/>
      <c r="K138" s="18"/>
      <c r="L138" s="18" t="s">
        <v>350</v>
      </c>
      <c r="M138" s="18"/>
      <c r="N138" s="33"/>
      <c r="O138" s="37"/>
      <c r="P138" s="42" t="s">
        <v>350</v>
      </c>
      <c r="Q138" s="42"/>
      <c r="R138" s="18"/>
      <c r="S138" s="18" t="s">
        <v>350</v>
      </c>
      <c r="T138" s="47"/>
      <c r="U138" s="42"/>
      <c r="V138" s="12"/>
      <c r="W138" s="11"/>
      <c r="X138" s="11"/>
      <c r="Y138" s="11"/>
      <c r="Z138" s="11"/>
      <c r="AA138" s="11"/>
    </row>
    <row r="139" spans="1:45" x14ac:dyDescent="0.25">
      <c r="A139" s="13"/>
      <c r="B139" s="13"/>
      <c r="C139" s="29"/>
      <c r="D139" s="19"/>
      <c r="E139" s="13"/>
      <c r="F139" s="13"/>
      <c r="G139" s="19"/>
      <c r="H139" s="19" t="s">
        <v>351</v>
      </c>
      <c r="I139" s="24">
        <f>STDEV(I132:I136)</f>
        <v>11.134589418621179</v>
      </c>
      <c r="J139" s="19"/>
      <c r="K139" s="19"/>
      <c r="L139" s="19" t="s">
        <v>352</v>
      </c>
      <c r="M139" s="19"/>
      <c r="N139" s="49">
        <f>K137/N137</f>
        <v>238.10772295294669</v>
      </c>
      <c r="O139" s="38"/>
      <c r="P139" s="43" t="s">
        <v>353</v>
      </c>
      <c r="Q139" s="43">
        <f>K137/P137</f>
        <v>78808.270676691725</v>
      </c>
      <c r="R139" s="19"/>
      <c r="S139" s="19" t="s">
        <v>354</v>
      </c>
      <c r="T139" s="48">
        <f>K137/P137/43560</f>
        <v>1.8091889503372756</v>
      </c>
      <c r="U139" s="43"/>
      <c r="V139" s="14"/>
      <c r="W139" s="13"/>
      <c r="X139" s="13"/>
      <c r="Y139" s="13"/>
      <c r="Z139" s="13"/>
      <c r="AA139" s="13"/>
    </row>
    <row r="140" spans="1:45" x14ac:dyDescent="0.25">
      <c r="K140" s="53" t="s">
        <v>361</v>
      </c>
      <c r="L140" s="53"/>
      <c r="M140" s="53"/>
      <c r="N140" s="54"/>
    </row>
    <row r="141" spans="1:45" x14ac:dyDescent="0.25">
      <c r="K141" s="53" t="s">
        <v>360</v>
      </c>
      <c r="L141" s="53"/>
      <c r="M141" s="53"/>
      <c r="N141" s="54"/>
    </row>
    <row r="148" spans="1:45" x14ac:dyDescent="0.25">
      <c r="A148" t="s">
        <v>358</v>
      </c>
    </row>
    <row r="149" spans="1:45" x14ac:dyDescent="0.25">
      <c r="A149" s="2" t="s">
        <v>0</v>
      </c>
      <c r="B149" s="2" t="s">
        <v>1</v>
      </c>
      <c r="C149" s="25" t="s">
        <v>2</v>
      </c>
      <c r="D149" s="15" t="s">
        <v>3</v>
      </c>
      <c r="E149" s="2" t="s">
        <v>4</v>
      </c>
      <c r="F149" s="2" t="s">
        <v>5</v>
      </c>
      <c r="G149" s="15" t="s">
        <v>6</v>
      </c>
      <c r="H149" s="15" t="s">
        <v>7</v>
      </c>
      <c r="I149" s="20" t="s">
        <v>8</v>
      </c>
      <c r="J149" s="15" t="s">
        <v>9</v>
      </c>
      <c r="K149" s="15" t="s">
        <v>10</v>
      </c>
      <c r="L149" s="15" t="s">
        <v>11</v>
      </c>
      <c r="M149" s="15" t="s">
        <v>355</v>
      </c>
      <c r="N149" s="30" t="s">
        <v>12</v>
      </c>
      <c r="O149" s="34" t="s">
        <v>13</v>
      </c>
      <c r="P149" s="39" t="s">
        <v>14</v>
      </c>
      <c r="Q149" s="39" t="s">
        <v>15</v>
      </c>
      <c r="R149" s="15" t="s">
        <v>16</v>
      </c>
      <c r="S149" s="15" t="s">
        <v>17</v>
      </c>
      <c r="T149" s="44" t="s">
        <v>18</v>
      </c>
      <c r="U149" s="39" t="s">
        <v>19</v>
      </c>
      <c r="V149" s="4" t="s">
        <v>20</v>
      </c>
      <c r="W149" s="2" t="s">
        <v>22</v>
      </c>
      <c r="X149" s="2" t="s">
        <v>23</v>
      </c>
      <c r="Y149" s="2" t="s">
        <v>27</v>
      </c>
      <c r="Z149" s="2" t="s">
        <v>28</v>
      </c>
      <c r="AA149" s="2" t="s">
        <v>29</v>
      </c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x14ac:dyDescent="0.25">
      <c r="A150" t="s">
        <v>330</v>
      </c>
      <c r="B150" t="s">
        <v>331</v>
      </c>
      <c r="C150" s="26">
        <v>44614</v>
      </c>
      <c r="D150" s="16">
        <v>71000</v>
      </c>
      <c r="E150" t="s">
        <v>61</v>
      </c>
      <c r="F150" t="s">
        <v>47</v>
      </c>
      <c r="G150" s="16">
        <v>71000</v>
      </c>
      <c r="H150" s="16">
        <v>13700</v>
      </c>
      <c r="I150" s="21">
        <f>H150/G150*100</f>
        <v>19.295774647887324</v>
      </c>
      <c r="J150" s="16">
        <v>46261</v>
      </c>
      <c r="K150" s="16">
        <f>G150-40789</f>
        <v>30211</v>
      </c>
      <c r="L150" s="16">
        <v>5472</v>
      </c>
      <c r="M150" s="50">
        <f>L150/D150</f>
        <v>7.7070422535211264E-2</v>
      </c>
      <c r="N150" s="31">
        <v>45.596823999999998</v>
      </c>
      <c r="O150" s="35">
        <v>107.389999</v>
      </c>
      <c r="P150" s="40">
        <v>0.108</v>
      </c>
      <c r="Q150" s="40">
        <v>0.108</v>
      </c>
      <c r="R150" s="16">
        <f>K150/N150</f>
        <v>662.56807710993212</v>
      </c>
      <c r="S150" s="16">
        <f>K150/P150</f>
        <v>279731.48148148146</v>
      </c>
      <c r="T150" s="45">
        <f>K150/P150/43560</f>
        <v>6.4217511818521915</v>
      </c>
      <c r="U150" s="40">
        <v>44</v>
      </c>
      <c r="V150" s="6" t="s">
        <v>323</v>
      </c>
      <c r="X150" t="s">
        <v>324</v>
      </c>
      <c r="Z150" s="7" t="s">
        <v>57</v>
      </c>
      <c r="AA150" t="s">
        <v>58</v>
      </c>
    </row>
    <row r="151" spans="1:45" x14ac:dyDescent="0.25">
      <c r="A151" t="s">
        <v>321</v>
      </c>
      <c r="B151" t="s">
        <v>322</v>
      </c>
      <c r="C151" s="26">
        <v>44753</v>
      </c>
      <c r="D151" s="16">
        <v>50000</v>
      </c>
      <c r="E151" t="s">
        <v>46</v>
      </c>
      <c r="F151" t="s">
        <v>47</v>
      </c>
      <c r="G151" s="16">
        <v>50000</v>
      </c>
      <c r="H151" s="16">
        <v>22500</v>
      </c>
      <c r="I151" s="21">
        <f>H151/G151*100</f>
        <v>45</v>
      </c>
      <c r="J151" s="16">
        <v>61991</v>
      </c>
      <c r="K151" s="16">
        <f>G151-55603</f>
        <v>-5603</v>
      </c>
      <c r="L151" s="16">
        <v>6388</v>
      </c>
      <c r="M151" s="50">
        <f t="shared" ref="M151:M154" si="19">L151/D151</f>
        <v>0.12776000000000001</v>
      </c>
      <c r="N151" s="31">
        <v>53.229503000000001</v>
      </c>
      <c r="O151" s="35">
        <v>104.94000200000001</v>
      </c>
      <c r="P151" s="40">
        <v>0.14499999999999999</v>
      </c>
      <c r="Q151" s="40">
        <v>0.14499999999999999</v>
      </c>
      <c r="R151" s="16">
        <f>K151/N151</f>
        <v>-105.26117442802349</v>
      </c>
      <c r="S151" s="16">
        <f>K151/P151</f>
        <v>-38641.379310344833</v>
      </c>
      <c r="T151" s="45">
        <f>K151/P151/43560</f>
        <v>-0.88708400620626338</v>
      </c>
      <c r="U151" s="40">
        <v>60</v>
      </c>
      <c r="V151" s="6" t="s">
        <v>323</v>
      </c>
      <c r="X151" t="s">
        <v>324</v>
      </c>
      <c r="Z151" s="7" t="s">
        <v>57</v>
      </c>
      <c r="AA151" t="s">
        <v>58</v>
      </c>
    </row>
    <row r="152" spans="1:45" x14ac:dyDescent="0.25">
      <c r="A152" t="s">
        <v>332</v>
      </c>
      <c r="B152" t="s">
        <v>333</v>
      </c>
      <c r="C152" s="26">
        <v>44778</v>
      </c>
      <c r="D152" s="16">
        <v>76000</v>
      </c>
      <c r="E152" t="s">
        <v>61</v>
      </c>
      <c r="F152" t="s">
        <v>47</v>
      </c>
      <c r="G152" s="16">
        <v>76000</v>
      </c>
      <c r="H152" s="16">
        <v>17300</v>
      </c>
      <c r="I152" s="21">
        <f>H152/G152*100</f>
        <v>22.763157894736842</v>
      </c>
      <c r="J152" s="16">
        <v>47285</v>
      </c>
      <c r="K152" s="16">
        <f>G152-41856</f>
        <v>34144</v>
      </c>
      <c r="L152" s="16">
        <v>5429</v>
      </c>
      <c r="M152" s="50">
        <f t="shared" si="19"/>
        <v>7.1434210526315794E-2</v>
      </c>
      <c r="N152" s="31">
        <v>45.239832</v>
      </c>
      <c r="O152" s="35">
        <v>105.714996</v>
      </c>
      <c r="P152" s="40">
        <v>0.107</v>
      </c>
      <c r="Q152" s="40">
        <v>0.107</v>
      </c>
      <c r="R152" s="16">
        <f>K152/N152</f>
        <v>754.73312986661847</v>
      </c>
      <c r="S152" s="16">
        <f>K152/P152</f>
        <v>319102.80373831774</v>
      </c>
      <c r="T152" s="45">
        <f>K152/P152/43560</f>
        <v>7.3255923723213439</v>
      </c>
      <c r="U152" s="40">
        <v>44</v>
      </c>
      <c r="V152" s="6" t="s">
        <v>323</v>
      </c>
      <c r="X152" t="s">
        <v>324</v>
      </c>
      <c r="Z152" s="7" t="s">
        <v>57</v>
      </c>
      <c r="AA152" t="s">
        <v>58</v>
      </c>
    </row>
    <row r="153" spans="1:45" x14ac:dyDescent="0.25">
      <c r="A153" t="s">
        <v>334</v>
      </c>
      <c r="B153" t="s">
        <v>335</v>
      </c>
      <c r="C153" s="26">
        <v>44316</v>
      </c>
      <c r="D153" s="16">
        <v>60000</v>
      </c>
      <c r="E153" t="s">
        <v>61</v>
      </c>
      <c r="F153" t="s">
        <v>47</v>
      </c>
      <c r="G153" s="16">
        <v>60000</v>
      </c>
      <c r="H153" s="16">
        <v>14300</v>
      </c>
      <c r="I153" s="21">
        <f>H153/G153*100</f>
        <v>23.833333333333336</v>
      </c>
      <c r="J153" s="16">
        <v>49887</v>
      </c>
      <c r="K153" s="16">
        <f>G153-43114</f>
        <v>16886</v>
      </c>
      <c r="L153" s="16">
        <v>6773</v>
      </c>
      <c r="M153" s="50">
        <f t="shared" si="19"/>
        <v>0.11288333333333334</v>
      </c>
      <c r="N153" s="31">
        <v>56.444662999999998</v>
      </c>
      <c r="O153" s="35">
        <v>118</v>
      </c>
      <c r="P153" s="40">
        <v>0.16300000000000001</v>
      </c>
      <c r="Q153" s="40">
        <v>0.16300000000000001</v>
      </c>
      <c r="R153" s="16">
        <f>K153/N153</f>
        <v>299.1602589601784</v>
      </c>
      <c r="S153" s="16">
        <f>K153/P153</f>
        <v>103595.09202453987</v>
      </c>
      <c r="T153" s="45">
        <f>K153/P153/43560</f>
        <v>2.3782160703521549</v>
      </c>
      <c r="U153" s="40">
        <v>60</v>
      </c>
      <c r="V153" s="6" t="s">
        <v>323</v>
      </c>
      <c r="X153" t="s">
        <v>324</v>
      </c>
      <c r="Z153" s="7" t="s">
        <v>57</v>
      </c>
      <c r="AA153" t="s">
        <v>58</v>
      </c>
    </row>
    <row r="154" spans="1:45" ht="15.75" thickBot="1" x14ac:dyDescent="0.3">
      <c r="A154" t="s">
        <v>336</v>
      </c>
      <c r="B154" t="s">
        <v>337</v>
      </c>
      <c r="C154" s="26">
        <v>44536</v>
      </c>
      <c r="D154" s="16">
        <v>63000</v>
      </c>
      <c r="E154" t="s">
        <v>46</v>
      </c>
      <c r="F154" t="s">
        <v>47</v>
      </c>
      <c r="G154" s="16">
        <v>63000</v>
      </c>
      <c r="H154" s="16">
        <v>18500</v>
      </c>
      <c r="I154" s="21">
        <f>H154/G154*100</f>
        <v>29.365079365079367</v>
      </c>
      <c r="J154" s="16">
        <v>62579</v>
      </c>
      <c r="K154" s="16">
        <f>G154-56143</f>
        <v>6857</v>
      </c>
      <c r="L154" s="16">
        <v>6436</v>
      </c>
      <c r="M154" s="50">
        <f t="shared" si="19"/>
        <v>0.10215873015873016</v>
      </c>
      <c r="N154" s="31">
        <v>53.637281999999999</v>
      </c>
      <c r="O154" s="35">
        <v>118</v>
      </c>
      <c r="P154" s="40">
        <v>0.14699999999999999</v>
      </c>
      <c r="Q154" s="40">
        <v>0.14699999999999999</v>
      </c>
      <c r="R154" s="16">
        <f>K154/N154</f>
        <v>127.84018399739196</v>
      </c>
      <c r="S154" s="16">
        <f>K154/P154</f>
        <v>46646.258503401361</v>
      </c>
      <c r="T154" s="45">
        <f>K154/P154/43560</f>
        <v>1.0708507461754215</v>
      </c>
      <c r="U154" s="40">
        <v>54.18</v>
      </c>
      <c r="V154" s="6" t="s">
        <v>323</v>
      </c>
      <c r="X154" t="s">
        <v>324</v>
      </c>
      <c r="Z154" s="7" t="s">
        <v>57</v>
      </c>
      <c r="AA154" t="s">
        <v>58</v>
      </c>
    </row>
    <row r="155" spans="1:45" ht="15.75" thickTop="1" x14ac:dyDescent="0.25">
      <c r="A155" s="9"/>
      <c r="B155" s="9"/>
      <c r="C155" s="27" t="s">
        <v>348</v>
      </c>
      <c r="D155" s="17">
        <f>+SUM(D150:D154)</f>
        <v>320000</v>
      </c>
      <c r="E155" s="9"/>
      <c r="F155" s="9"/>
      <c r="G155" s="17">
        <f>+SUM(G150:G154)</f>
        <v>320000</v>
      </c>
      <c r="H155" s="17">
        <f>+SUM(H150:H154)</f>
        <v>86300</v>
      </c>
      <c r="I155" s="22"/>
      <c r="J155" s="17">
        <f>+SUM(J150:J154)</f>
        <v>268003</v>
      </c>
      <c r="K155" s="17">
        <f>+SUM(K150:K154)</f>
        <v>82495</v>
      </c>
      <c r="L155" s="17">
        <f>+SUM(L150:L154)</f>
        <v>30498</v>
      </c>
      <c r="M155" s="51">
        <f>AVERAGE(M150:M154)</f>
        <v>9.8261339310718107E-2</v>
      </c>
      <c r="N155" s="32">
        <f>+SUM(N150:N154)</f>
        <v>254.14810399999999</v>
      </c>
      <c r="O155" s="36"/>
      <c r="P155" s="41">
        <f>+SUM(P150:P154)</f>
        <v>0.67</v>
      </c>
      <c r="Q155" s="41">
        <f>+SUM(Q150:Q154)</f>
        <v>0.67</v>
      </c>
      <c r="R155" s="17"/>
      <c r="S155" s="17"/>
      <c r="T155" s="46"/>
      <c r="U155" s="41"/>
      <c r="V155" s="10"/>
      <c r="W155" s="9"/>
      <c r="X155" s="9"/>
      <c r="Y155" s="9"/>
      <c r="Z155" s="9"/>
      <c r="AA155" s="9"/>
    </row>
    <row r="156" spans="1:45" x14ac:dyDescent="0.25">
      <c r="A156" s="11"/>
      <c r="B156" s="11"/>
      <c r="C156" s="28"/>
      <c r="D156" s="18"/>
      <c r="E156" s="11"/>
      <c r="F156" s="11"/>
      <c r="G156" s="18"/>
      <c r="H156" s="18" t="s">
        <v>349</v>
      </c>
      <c r="I156" s="23">
        <f>H155/G155*100</f>
        <v>26.968750000000004</v>
      </c>
      <c r="J156" s="18"/>
      <c r="K156" s="18"/>
      <c r="L156" s="18" t="s">
        <v>350</v>
      </c>
      <c r="M156" s="18"/>
      <c r="N156" s="33"/>
      <c r="O156" s="37"/>
      <c r="P156" s="42" t="s">
        <v>350</v>
      </c>
      <c r="Q156" s="42"/>
      <c r="R156" s="18"/>
      <c r="S156" s="18" t="s">
        <v>350</v>
      </c>
      <c r="T156" s="47"/>
      <c r="U156" s="42"/>
      <c r="V156" s="12"/>
      <c r="W156" s="11"/>
      <c r="X156" s="11"/>
      <c r="Y156" s="11"/>
      <c r="Z156" s="11"/>
      <c r="AA156" s="11"/>
    </row>
    <row r="157" spans="1:45" x14ac:dyDescent="0.25">
      <c r="A157" s="13"/>
      <c r="B157" s="13"/>
      <c r="C157" s="29"/>
      <c r="D157" s="19"/>
      <c r="E157" s="13"/>
      <c r="F157" s="13"/>
      <c r="G157" s="19"/>
      <c r="H157" s="19" t="s">
        <v>351</v>
      </c>
      <c r="I157" s="24">
        <f>STDEV(I150:I154)</f>
        <v>10.141491035410878</v>
      </c>
      <c r="J157" s="19"/>
      <c r="K157" s="19"/>
      <c r="L157" s="19" t="s">
        <v>352</v>
      </c>
      <c r="M157" s="19"/>
      <c r="N157" s="49">
        <f>K155/N155</f>
        <v>324.59419803501663</v>
      </c>
      <c r="O157" s="38"/>
      <c r="P157" s="43" t="s">
        <v>353</v>
      </c>
      <c r="Q157" s="43">
        <f>K155/P155</f>
        <v>123126.86567164179</v>
      </c>
      <c r="R157" s="19"/>
      <c r="S157" s="19" t="s">
        <v>354</v>
      </c>
      <c r="T157" s="48">
        <f>K155/P155/43560</f>
        <v>2.8266038951249262</v>
      </c>
      <c r="U157" s="43"/>
      <c r="V157" s="14"/>
      <c r="W157" s="13"/>
      <c r="X157" s="13"/>
      <c r="Y157" s="13"/>
      <c r="Z157" s="13"/>
      <c r="AA157" s="13"/>
    </row>
    <row r="158" spans="1:45" x14ac:dyDescent="0.25">
      <c r="K158" s="53" t="s">
        <v>361</v>
      </c>
      <c r="L158" s="53"/>
      <c r="M158" s="53"/>
      <c r="N158" s="54"/>
    </row>
    <row r="159" spans="1:45" x14ac:dyDescent="0.25">
      <c r="K159" s="53" t="s">
        <v>363</v>
      </c>
      <c r="L159" s="53"/>
      <c r="M159" s="53"/>
      <c r="N159" s="54"/>
    </row>
    <row r="161" spans="1:27" x14ac:dyDescent="0.25">
      <c r="A161" t="s">
        <v>325</v>
      </c>
      <c r="B161" t="s">
        <v>326</v>
      </c>
      <c r="C161" s="26">
        <v>44747</v>
      </c>
      <c r="D161" s="16">
        <v>149900</v>
      </c>
      <c r="E161" t="s">
        <v>46</v>
      </c>
      <c r="F161" t="s">
        <v>47</v>
      </c>
      <c r="G161" s="16">
        <v>149900</v>
      </c>
      <c r="H161" s="16">
        <v>25100</v>
      </c>
      <c r="I161" s="21">
        <f>H161/G161*100</f>
        <v>16.744496330887255</v>
      </c>
      <c r="J161" s="16">
        <v>69611</v>
      </c>
      <c r="K161" s="16">
        <f>G161-63222</f>
        <v>86678</v>
      </c>
      <c r="L161" s="16">
        <v>6389</v>
      </c>
      <c r="N161" s="31">
        <v>53.244717999999999</v>
      </c>
      <c r="O161" s="35">
        <v>105</v>
      </c>
      <c r="P161" s="40">
        <v>0.14499999999999999</v>
      </c>
      <c r="Q161" s="40">
        <v>0.14499999999999999</v>
      </c>
      <c r="R161" s="16">
        <f>K161/N161</f>
        <v>1627.917345716809</v>
      </c>
      <c r="S161" s="16">
        <f>K161/P161</f>
        <v>597779.31034482759</v>
      </c>
      <c r="T161" s="45">
        <f>K161/P161/43560</f>
        <v>13.723124663563535</v>
      </c>
      <c r="U161" s="40">
        <v>60</v>
      </c>
      <c r="V161" s="6" t="s">
        <v>323</v>
      </c>
      <c r="X161" t="s">
        <v>324</v>
      </c>
      <c r="Z161" s="7" t="s">
        <v>57</v>
      </c>
      <c r="AA161" t="s">
        <v>58</v>
      </c>
    </row>
  </sheetData>
  <sortState ref="A2:AS120">
    <sortCondition ref="R2:R120"/>
  </sortState>
  <conditionalFormatting sqref="A161:AA161 A3:AA116 A132:AA136 A150:AA154">
    <cfRule type="expression" dxfId="5" priority="9" stopIfTrue="1">
      <formula>MOD(ROW(),4)&gt;1</formula>
    </cfRule>
    <cfRule type="expression" dxfId="4" priority="10" stopIfTrue="1">
      <formula>MOD(ROW(),4)&lt;2</formula>
    </cfRule>
  </conditionalFormatting>
  <conditionalFormatting sqref="A123:AA124">
    <cfRule type="expression" dxfId="3" priority="3" stopIfTrue="1">
      <formula>MOD(ROW(),4)&gt;1</formula>
    </cfRule>
    <cfRule type="expression" dxfId="2" priority="4" stopIfTrue="1">
      <formula>MOD(ROW(),4)&lt;2</formula>
    </cfRule>
  </conditionalFormatting>
  <conditionalFormatting sqref="A125:AA127 A13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"/>
  <sheetViews>
    <sheetView tabSelected="1" workbookViewId="0">
      <selection activeCell="K10" sqref="K10"/>
    </sheetView>
  </sheetViews>
  <sheetFormatPr defaultRowHeight="15" x14ac:dyDescent="0.25"/>
  <cols>
    <col min="16" max="16" width="10.7109375" bestFit="1" customWidth="1"/>
  </cols>
  <sheetData>
    <row r="1" spans="1:64" x14ac:dyDescent="0.25">
      <c r="A1" s="57" t="s">
        <v>0</v>
      </c>
      <c r="B1" s="57" t="s">
        <v>1</v>
      </c>
      <c r="C1" s="79" t="s">
        <v>2</v>
      </c>
      <c r="D1" s="69" t="s">
        <v>3</v>
      </c>
      <c r="E1" s="57" t="s">
        <v>4</v>
      </c>
      <c r="F1" s="57" t="s">
        <v>5</v>
      </c>
      <c r="G1" s="69" t="s">
        <v>6</v>
      </c>
      <c r="H1" s="69" t="s">
        <v>7</v>
      </c>
      <c r="I1" s="74" t="s">
        <v>8</v>
      </c>
      <c r="J1" s="69" t="s">
        <v>9</v>
      </c>
      <c r="K1" s="69" t="s">
        <v>10</v>
      </c>
      <c r="L1" s="69" t="s">
        <v>11</v>
      </c>
      <c r="M1" s="84" t="s">
        <v>12</v>
      </c>
      <c r="N1" s="88" t="s">
        <v>13</v>
      </c>
      <c r="O1" s="93" t="s">
        <v>14</v>
      </c>
      <c r="P1" s="93" t="s">
        <v>15</v>
      </c>
      <c r="Q1" s="69" t="s">
        <v>16</v>
      </c>
      <c r="R1" s="69" t="s">
        <v>17</v>
      </c>
      <c r="S1" s="98" t="s">
        <v>18</v>
      </c>
      <c r="T1" s="93" t="s">
        <v>19</v>
      </c>
      <c r="U1" s="59" t="s">
        <v>20</v>
      </c>
      <c r="V1" s="57" t="s">
        <v>21</v>
      </c>
      <c r="W1" s="57" t="s">
        <v>22</v>
      </c>
      <c r="X1" s="57" t="s">
        <v>23</v>
      </c>
      <c r="Y1" s="57" t="s">
        <v>24</v>
      </c>
      <c r="Z1" s="57" t="s">
        <v>25</v>
      </c>
      <c r="AA1" s="57" t="s">
        <v>26</v>
      </c>
      <c r="AB1" s="57" t="s">
        <v>27</v>
      </c>
      <c r="AC1" s="57" t="s">
        <v>28</v>
      </c>
      <c r="AD1" s="57" t="s">
        <v>29</v>
      </c>
      <c r="AE1" s="57" t="s">
        <v>30</v>
      </c>
      <c r="AF1" s="57" t="s">
        <v>31</v>
      </c>
      <c r="AG1" s="57" t="s">
        <v>32</v>
      </c>
      <c r="AH1" s="57" t="s">
        <v>33</v>
      </c>
      <c r="AI1" s="57" t="s">
        <v>34</v>
      </c>
      <c r="AJ1" s="57" t="s">
        <v>35</v>
      </c>
      <c r="AK1" s="57" t="s">
        <v>36</v>
      </c>
      <c r="AL1" s="57" t="s">
        <v>37</v>
      </c>
      <c r="AM1" s="57" t="s">
        <v>38</v>
      </c>
      <c r="AN1" s="57" t="s">
        <v>39</v>
      </c>
      <c r="AO1" s="57" t="s">
        <v>40</v>
      </c>
      <c r="AP1" s="57" t="s">
        <v>41</v>
      </c>
      <c r="AQ1" s="57" t="s">
        <v>42</v>
      </c>
      <c r="AR1" s="57" t="s">
        <v>43</v>
      </c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</row>
    <row r="2" spans="1:64" x14ac:dyDescent="0.25">
      <c r="A2" s="56" t="s">
        <v>365</v>
      </c>
      <c r="B2" s="56" t="s">
        <v>366</v>
      </c>
      <c r="C2" s="80">
        <v>44489</v>
      </c>
      <c r="D2" s="70">
        <v>6000</v>
      </c>
      <c r="E2" s="56" t="s">
        <v>262</v>
      </c>
      <c r="F2" s="56" t="s">
        <v>47</v>
      </c>
      <c r="G2" s="70">
        <v>6000</v>
      </c>
      <c r="H2" s="70">
        <v>3000</v>
      </c>
      <c r="I2" s="75">
        <v>50</v>
      </c>
      <c r="J2" s="70">
        <v>6930</v>
      </c>
      <c r="K2" s="70">
        <v>6000</v>
      </c>
      <c r="L2" s="70">
        <v>6930</v>
      </c>
      <c r="M2" s="85">
        <v>57.747467</v>
      </c>
      <c r="N2" s="89">
        <v>115</v>
      </c>
      <c r="O2" s="94">
        <v>0.255</v>
      </c>
      <c r="P2" s="94">
        <v>0.255</v>
      </c>
      <c r="Q2" s="70">
        <v>103.90066113202853</v>
      </c>
      <c r="R2" s="70">
        <v>23529.411764705881</v>
      </c>
      <c r="S2" s="99">
        <v>0.54016096796845459</v>
      </c>
      <c r="T2" s="94">
        <v>96.66</v>
      </c>
      <c r="U2" s="60" t="s">
        <v>55</v>
      </c>
      <c r="V2" s="56"/>
      <c r="W2" s="56"/>
      <c r="X2" s="56" t="s">
        <v>56</v>
      </c>
      <c r="Y2" s="56">
        <v>0</v>
      </c>
      <c r="Z2" s="56">
        <v>0</v>
      </c>
      <c r="AA2" s="56" t="s">
        <v>50</v>
      </c>
      <c r="AB2" s="56"/>
      <c r="AC2" s="61" t="s">
        <v>367</v>
      </c>
      <c r="AD2" s="56" t="s">
        <v>58</v>
      </c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64" x14ac:dyDescent="0.25">
      <c r="A3" s="56" t="s">
        <v>368</v>
      </c>
      <c r="B3" s="56" t="s">
        <v>369</v>
      </c>
      <c r="C3" s="80">
        <v>44634</v>
      </c>
      <c r="D3" s="70">
        <v>10000</v>
      </c>
      <c r="E3" s="56" t="s">
        <v>46</v>
      </c>
      <c r="F3" s="56" t="s">
        <v>370</v>
      </c>
      <c r="G3" s="70">
        <v>10000</v>
      </c>
      <c r="H3" s="70">
        <v>3000</v>
      </c>
      <c r="I3" s="75">
        <v>30</v>
      </c>
      <c r="J3" s="70">
        <v>6794</v>
      </c>
      <c r="K3" s="70">
        <v>10000</v>
      </c>
      <c r="L3" s="70">
        <v>6794</v>
      </c>
      <c r="M3" s="85">
        <v>56.624543000000003</v>
      </c>
      <c r="N3" s="89">
        <v>178.129997</v>
      </c>
      <c r="O3" s="94">
        <v>0.122</v>
      </c>
      <c r="P3" s="94">
        <v>6.0999999999999999E-2</v>
      </c>
      <c r="Q3" s="70">
        <v>176.60186679122512</v>
      </c>
      <c r="R3" s="70">
        <v>81967.213114754093</v>
      </c>
      <c r="S3" s="99">
        <v>1.8817082900540425</v>
      </c>
      <c r="T3" s="94">
        <v>60</v>
      </c>
      <c r="U3" s="60" t="s">
        <v>55</v>
      </c>
      <c r="V3" s="56"/>
      <c r="W3" s="56" t="s">
        <v>371</v>
      </c>
      <c r="X3" s="56" t="s">
        <v>56</v>
      </c>
      <c r="Y3" s="56">
        <v>0</v>
      </c>
      <c r="Z3" s="56">
        <v>1</v>
      </c>
      <c r="AA3" s="62">
        <v>37006</v>
      </c>
      <c r="AB3" s="56"/>
      <c r="AC3" s="61" t="s">
        <v>367</v>
      </c>
      <c r="AD3" s="56" t="s">
        <v>58</v>
      </c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64" ht="15.75" thickBot="1" x14ac:dyDescent="0.3">
      <c r="A4" s="56" t="s">
        <v>372</v>
      </c>
      <c r="B4" s="56" t="s">
        <v>373</v>
      </c>
      <c r="C4" s="80">
        <v>44306</v>
      </c>
      <c r="D4" s="70">
        <v>2000</v>
      </c>
      <c r="E4" s="56" t="s">
        <v>46</v>
      </c>
      <c r="F4" s="56" t="s">
        <v>370</v>
      </c>
      <c r="G4" s="70">
        <v>2000</v>
      </c>
      <c r="H4" s="70">
        <v>2100</v>
      </c>
      <c r="I4" s="75">
        <v>105</v>
      </c>
      <c r="J4" s="70">
        <v>4815</v>
      </c>
      <c r="K4" s="70">
        <v>2000</v>
      </c>
      <c r="L4" s="70">
        <v>3944</v>
      </c>
      <c r="M4" s="85">
        <v>32.863352999999996</v>
      </c>
      <c r="N4" s="89">
        <v>100</v>
      </c>
      <c r="O4" s="94">
        <v>8.3000000000000004E-2</v>
      </c>
      <c r="P4" s="94">
        <v>8.3000000000000004E-2</v>
      </c>
      <c r="Q4" s="70">
        <v>60.85806277892582</v>
      </c>
      <c r="R4" s="70">
        <v>24096.385542168675</v>
      </c>
      <c r="S4" s="99">
        <v>0.55317689490745348</v>
      </c>
      <c r="T4" s="94">
        <v>36</v>
      </c>
      <c r="U4" s="60" t="s">
        <v>55</v>
      </c>
      <c r="V4" s="56"/>
      <c r="W4" s="56"/>
      <c r="X4" s="56" t="s">
        <v>56</v>
      </c>
      <c r="Y4" s="56">
        <v>0</v>
      </c>
      <c r="Z4" s="56">
        <v>1</v>
      </c>
      <c r="AA4" s="62">
        <v>40583</v>
      </c>
      <c r="AB4" s="56"/>
      <c r="AC4" s="61" t="s">
        <v>367</v>
      </c>
      <c r="AD4" s="56" t="s">
        <v>58</v>
      </c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</row>
    <row r="5" spans="1:64" ht="15.75" thickTop="1" x14ac:dyDescent="0.25">
      <c r="A5" s="63"/>
      <c r="B5" s="63"/>
      <c r="C5" s="81" t="s">
        <v>348</v>
      </c>
      <c r="D5" s="71">
        <v>18000</v>
      </c>
      <c r="E5" s="63"/>
      <c r="F5" s="63"/>
      <c r="G5" s="71">
        <v>18000</v>
      </c>
      <c r="H5" s="71">
        <v>8100</v>
      </c>
      <c r="I5" s="76"/>
      <c r="J5" s="71">
        <v>18539</v>
      </c>
      <c r="K5" s="71">
        <v>18000</v>
      </c>
      <c r="L5" s="71">
        <v>17668</v>
      </c>
      <c r="M5" s="86">
        <v>147.23536300000001</v>
      </c>
      <c r="N5" s="90"/>
      <c r="O5" s="95">
        <v>0.46</v>
      </c>
      <c r="P5" s="95">
        <v>0.39900000000000002</v>
      </c>
      <c r="Q5" s="71"/>
      <c r="R5" s="71"/>
      <c r="S5" s="100"/>
      <c r="T5" s="95"/>
      <c r="U5" s="64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64" x14ac:dyDescent="0.25">
      <c r="A6" s="65"/>
      <c r="B6" s="65"/>
      <c r="C6" s="82"/>
      <c r="D6" s="72"/>
      <c r="E6" s="65"/>
      <c r="F6" s="65"/>
      <c r="G6" s="72"/>
      <c r="H6" s="72" t="s">
        <v>349</v>
      </c>
      <c r="I6" s="77">
        <v>45</v>
      </c>
      <c r="J6" s="72"/>
      <c r="K6" s="72"/>
      <c r="L6" s="72" t="s">
        <v>350</v>
      </c>
      <c r="M6" s="87"/>
      <c r="N6" s="91"/>
      <c r="O6" s="96" t="s">
        <v>350</v>
      </c>
      <c r="P6" s="96"/>
      <c r="Q6" s="72"/>
      <c r="R6" s="72" t="s">
        <v>350</v>
      </c>
      <c r="S6" s="101"/>
      <c r="T6" s="96"/>
      <c r="U6" s="66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</row>
    <row r="7" spans="1:64" x14ac:dyDescent="0.25">
      <c r="A7" s="67"/>
      <c r="B7" s="67"/>
      <c r="C7" s="83"/>
      <c r="D7" s="73"/>
      <c r="E7" s="67"/>
      <c r="F7" s="67"/>
      <c r="G7" s="73"/>
      <c r="H7" s="73" t="s">
        <v>351</v>
      </c>
      <c r="I7" s="78">
        <v>38.837267325770142</v>
      </c>
      <c r="J7" s="73"/>
      <c r="K7" s="73"/>
      <c r="L7" s="73" t="s">
        <v>352</v>
      </c>
      <c r="M7" s="103">
        <v>122.25323884996295</v>
      </c>
      <c r="N7" s="92"/>
      <c r="O7" s="97" t="s">
        <v>353</v>
      </c>
      <c r="P7" s="97">
        <v>39130.434782608696</v>
      </c>
      <c r="Q7" s="73"/>
      <c r="R7" s="73" t="s">
        <v>354</v>
      </c>
      <c r="S7" s="102">
        <v>0.89831117499101687</v>
      </c>
      <c r="T7" s="97"/>
      <c r="U7" s="68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 Land Analysis</vt:lpstr>
      <vt:lpstr>Land Table Breakdowns</vt:lpstr>
      <vt:lpstr>Vacant Land Sales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Powers</dc:creator>
  <cp:lastModifiedBy>Aaron Powers</cp:lastModifiedBy>
  <dcterms:created xsi:type="dcterms:W3CDTF">2024-01-17T18:56:59Z</dcterms:created>
  <dcterms:modified xsi:type="dcterms:W3CDTF">2024-01-23T16:15:38Z</dcterms:modified>
</cp:coreProperties>
</file>