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powers\Desktop\ECF\Land\2025\CI\"/>
    </mc:Choice>
  </mc:AlternateContent>
  <bookViews>
    <workbookView xWindow="0" yWindow="0" windowWidth="24135" windowHeight="11310" activeTab="1"/>
  </bookViews>
  <sheets>
    <sheet name="Commercial" sheetId="4" r:id="rId1"/>
    <sheet name="Industrial" sheetId="3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7" i="4" l="1"/>
  <c r="J27" i="4"/>
  <c r="O27" i="4"/>
  <c r="P27" i="4" s="1"/>
  <c r="A22" i="4"/>
  <c r="J22" i="4"/>
  <c r="O22" i="4"/>
  <c r="P22" i="4" s="1"/>
  <c r="A3" i="4"/>
  <c r="J3" i="4"/>
  <c r="O3" i="4"/>
  <c r="P3" i="4" s="1"/>
  <c r="J10" i="4"/>
  <c r="L10" i="4"/>
  <c r="P10" i="4" s="1"/>
  <c r="O10" i="4"/>
  <c r="J11" i="4"/>
  <c r="L11" i="4"/>
  <c r="P11" i="4" s="1"/>
  <c r="O11" i="4"/>
  <c r="A4" i="4"/>
  <c r="J4" i="4"/>
  <c r="O4" i="4"/>
  <c r="P4" i="4" s="1"/>
  <c r="N31" i="4"/>
  <c r="M31" i="4"/>
  <c r="K31" i="4"/>
  <c r="I31" i="4"/>
  <c r="H31" i="4"/>
  <c r="E31" i="4"/>
  <c r="O30" i="4"/>
  <c r="L30" i="4"/>
  <c r="P30" i="4" s="1"/>
  <c r="J30" i="4"/>
  <c r="O29" i="4"/>
  <c r="L29" i="4"/>
  <c r="P29" i="4" s="1"/>
  <c r="J29" i="4"/>
  <c r="O28" i="4"/>
  <c r="P28" i="4" s="1"/>
  <c r="J28" i="4"/>
  <c r="A28" i="4"/>
  <c r="O26" i="4"/>
  <c r="P26" i="4" s="1"/>
  <c r="J26" i="4"/>
  <c r="A26" i="4"/>
  <c r="O25" i="4"/>
  <c r="P25" i="4" s="1"/>
  <c r="J25" i="4"/>
  <c r="A25" i="4"/>
  <c r="O24" i="4"/>
  <c r="P24" i="4" s="1"/>
  <c r="J24" i="4"/>
  <c r="A24" i="4"/>
  <c r="O23" i="4"/>
  <c r="P23" i="4" s="1"/>
  <c r="J23" i="4"/>
  <c r="A23" i="4"/>
  <c r="N12" i="4"/>
  <c r="M12" i="4"/>
  <c r="K12" i="4"/>
  <c r="I12" i="4"/>
  <c r="H12" i="4"/>
  <c r="E12" i="4"/>
  <c r="O9" i="4"/>
  <c r="L9" i="4"/>
  <c r="P9" i="4" s="1"/>
  <c r="J9" i="4"/>
  <c r="O8" i="4"/>
  <c r="L8" i="4"/>
  <c r="P8" i="4" s="1"/>
  <c r="J8" i="4"/>
  <c r="O7" i="4"/>
  <c r="L7" i="4"/>
  <c r="P7" i="4" s="1"/>
  <c r="J7" i="4"/>
  <c r="O6" i="4"/>
  <c r="L6" i="4"/>
  <c r="P6" i="4" s="1"/>
  <c r="J6" i="4"/>
  <c r="O5" i="4"/>
  <c r="P5" i="4" s="1"/>
  <c r="J5" i="4"/>
  <c r="A5" i="4"/>
  <c r="E12" i="3"/>
  <c r="A11" i="3"/>
  <c r="J11" i="3"/>
  <c r="O11" i="3"/>
  <c r="P11" i="3" s="1"/>
  <c r="A6" i="3"/>
  <c r="J6" i="3"/>
  <c r="O6" i="3"/>
  <c r="P6" i="3" s="1"/>
  <c r="A7" i="3"/>
  <c r="J7" i="3"/>
  <c r="O7" i="3"/>
  <c r="P7" i="3" s="1"/>
  <c r="A8" i="3"/>
  <c r="J8" i="3"/>
  <c r="O8" i="3"/>
  <c r="P8" i="3" s="1"/>
  <c r="A9" i="3"/>
  <c r="J9" i="3"/>
  <c r="O9" i="3"/>
  <c r="P9" i="3" s="1"/>
  <c r="N12" i="3"/>
  <c r="M12" i="3"/>
  <c r="K12" i="3"/>
  <c r="I12" i="3"/>
  <c r="H12" i="3"/>
  <c r="O5" i="3"/>
  <c r="P5" i="3" s="1"/>
  <c r="J5" i="3"/>
  <c r="A5" i="3"/>
  <c r="O4" i="3"/>
  <c r="P4" i="3" s="1"/>
  <c r="J4" i="3"/>
  <c r="A4" i="3"/>
  <c r="O3" i="3"/>
  <c r="P3" i="3" s="1"/>
  <c r="J3" i="3"/>
  <c r="A3" i="3"/>
  <c r="O10" i="3"/>
  <c r="J32" i="4" l="1"/>
  <c r="J33" i="4"/>
  <c r="L31" i="4"/>
  <c r="O33" i="4" s="1"/>
  <c r="J13" i="4"/>
  <c r="L12" i="4"/>
  <c r="O14" i="4" s="1"/>
  <c r="J14" i="4"/>
  <c r="O12" i="3"/>
  <c r="J13" i="3"/>
  <c r="L10" i="3" l="1"/>
  <c r="L12" i="3" s="1"/>
  <c r="J10" i="3"/>
  <c r="J14" i="3" s="1"/>
  <c r="P10" i="3" l="1"/>
  <c r="P12" i="3" s="1"/>
  <c r="O14" i="3"/>
</calcChain>
</file>

<file path=xl/sharedStrings.xml><?xml version="1.0" encoding="utf-8"?>
<sst xmlns="http://schemas.openxmlformats.org/spreadsheetml/2006/main" count="241" uniqueCount="111">
  <si>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</si>
  <si>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</si>
  <si>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</si>
  <si>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</si>
  <si>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</si>
  <si>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</si>
  <si>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</si>
  <si>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</si>
  <si>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</si>
  <si>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</si>
  <si>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</si>
  <si>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</si>
  <si>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Net Acres</t>
  </si>
  <si>
    <t>Dollars/SqFt</t>
  </si>
  <si>
    <t>ECF Area</t>
  </si>
  <si>
    <t>Other Parcels in Sale</t>
  </si>
  <si>
    <t>Land Table</t>
  </si>
  <si>
    <t>50 004 02 0012 303</t>
  </si>
  <si>
    <t>10992 W JEFFERSON</t>
  </si>
  <si>
    <t>PTA</t>
  </si>
  <si>
    <t>19-MULTI PARCEL ARM'S LENGTH</t>
  </si>
  <si>
    <t>GAR</t>
  </si>
  <si>
    <t>50 004 02 0011 001</t>
  </si>
  <si>
    <t>COMMERCIAL</t>
  </si>
  <si>
    <t>03-ARM'S LENGTH</t>
  </si>
  <si>
    <t>REST</t>
  </si>
  <si>
    <t>50 004 08 0138 000</t>
  </si>
  <si>
    <t>11204 W JEFFERSON</t>
  </si>
  <si>
    <t>RET</t>
  </si>
  <si>
    <t>50 004 08 0139 000</t>
  </si>
  <si>
    <t>WD</t>
  </si>
  <si>
    <t>50 004 21 0027 304</t>
  </si>
  <si>
    <t>11283 W JEFFERSON</t>
  </si>
  <si>
    <t>MISC</t>
  </si>
  <si>
    <t>50 004 21 0029 304</t>
  </si>
  <si>
    <t>50 006 99 0007 004</t>
  </si>
  <si>
    <t>260 MARION</t>
  </si>
  <si>
    <t>01997</t>
  </si>
  <si>
    <t>INDUSTRIAL</t>
  </si>
  <si>
    <t>50 007 11 0018 000</t>
  </si>
  <si>
    <t>34 W CICOTTE</t>
  </si>
  <si>
    <t>MUTLI</t>
  </si>
  <si>
    <t>50 008 06 0077 002</t>
  </si>
  <si>
    <t>10550 W JEFFERSON</t>
  </si>
  <si>
    <t>50 008 09 0004 001</t>
  </si>
  <si>
    <t>10541 W JEFFERSON</t>
  </si>
  <si>
    <t>QC</t>
  </si>
  <si>
    <t>50 008 09 0022 001</t>
  </si>
  <si>
    <t>10661 W JEFFERSON</t>
  </si>
  <si>
    <t>50 010 01 0144 000</t>
  </si>
  <si>
    <t>196 VISGER</t>
  </si>
  <si>
    <t>CD</t>
  </si>
  <si>
    <t>Totals:</t>
  </si>
  <si>
    <t>Sale. Ratio =&gt;</t>
  </si>
  <si>
    <t>Average</t>
  </si>
  <si>
    <t>Std. Dev. =&gt;</t>
  </si>
  <si>
    <t>per Net Acre=&gt;</t>
  </si>
  <si>
    <t>per SqFt=&gt;</t>
  </si>
  <si>
    <t>Community</t>
  </si>
  <si>
    <t>RIVER ROUGE</t>
  </si>
  <si>
    <t>32 10 173 14 006 00</t>
  </si>
  <si>
    <t>13313 LEONARD</t>
  </si>
  <si>
    <t>32 10 173 14 002 00</t>
  </si>
  <si>
    <t>33 039 02 0057 300</t>
  </si>
  <si>
    <t>27115 POWERS</t>
  </si>
  <si>
    <t>33 039 02 0062 000, 33 039 02 0061 000, 33 039 02 0056 000, 33 039 02 0055 000</t>
  </si>
  <si>
    <t>33 039 02 0071 000</t>
  </si>
  <si>
    <t>5621 DANIELS</t>
  </si>
  <si>
    <t>33 039 02 0069 000, 33 039 02 0070 000</t>
  </si>
  <si>
    <t>57 023 17 0001 300</t>
  </si>
  <si>
    <t>4644 BIDDLE</t>
  </si>
  <si>
    <t>79 006 02 0551 001</t>
  </si>
  <si>
    <t>26310 SEVEN MILE</t>
  </si>
  <si>
    <t>79 006 03 0215 001</t>
  </si>
  <si>
    <t>26042 SEVEN MILE</t>
  </si>
  <si>
    <t>79 007 03 0001 002</t>
  </si>
  <si>
    <t>18840 WOODWORTH</t>
  </si>
  <si>
    <t>79 037 99 0006 700</t>
  </si>
  <si>
    <t>12669 BEECH DALY</t>
  </si>
  <si>
    <t>Land Residual Per SF</t>
  </si>
  <si>
    <t>Total Land SF</t>
  </si>
  <si>
    <t>IND</t>
  </si>
  <si>
    <t>*2025*</t>
  </si>
  <si>
    <t>Increasing from $0.68 to $0.70 for 2025</t>
  </si>
  <si>
    <t>34 005 03 0187 002</t>
  </si>
  <si>
    <t>35 KNOX</t>
  </si>
  <si>
    <t>34 005 07 0008 000</t>
  </si>
  <si>
    <t>3931 W JEFFERSON</t>
  </si>
  <si>
    <t>34 005 07 0011 004</t>
  </si>
  <si>
    <t>3863 W JEFFERSON</t>
  </si>
  <si>
    <t>34 006 03 0027 000</t>
  </si>
  <si>
    <t>4036 HIGH</t>
  </si>
  <si>
    <t>34 007 02 0084 300</t>
  </si>
  <si>
    <t>4434 7TH</t>
  </si>
  <si>
    <t>34 007 06 0095 001</t>
  </si>
  <si>
    <t>148 SOUTHFIELD</t>
  </si>
  <si>
    <t>34 007 09 0004 301</t>
  </si>
  <si>
    <t>4255 HIGH</t>
  </si>
  <si>
    <t>34 012 09 0163 000</t>
  </si>
  <si>
    <t>4594 3RD</t>
  </si>
  <si>
    <t>34 013 02 0022 001</t>
  </si>
  <si>
    <t>4503 HIGH</t>
  </si>
  <si>
    <t>34 013 02 0049 000</t>
  </si>
  <si>
    <t>4506 W JEFFERSON</t>
  </si>
  <si>
    <t>Land SF</t>
  </si>
  <si>
    <t>Non Jefferson</t>
  </si>
  <si>
    <t>Jefferson</t>
  </si>
  <si>
    <t>Increasing from $3.25 to $3.35</t>
  </si>
  <si>
    <t>Increasing from $2.40 to $2.50</t>
  </si>
  <si>
    <t>Did not increase as much as warranted due to heavy reliance on Ecorse Sales</t>
  </si>
  <si>
    <t>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</si>
</sst>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right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right"/>
    </xf>
    <xf numFmtId="6" fontId="2" fillId="2" borderId="0" xfId="0" applyNumberFormat="1" applyFont="1" applyFill="1" applyAlignment="1">
      <alignment horizontal="center"/>
    </xf>
    <xf numFmtId="6" fontId="0" fillId="0" borderId="0" xfId="0" applyNumberFormat="1"/>
    <xf numFmtId="6" fontId="3" fillId="3" borderId="1" xfId="0" applyNumberFormat="1" applyFont="1" applyFill="1" applyBorder="1"/>
    <xf numFmtId="6" fontId="3" fillId="3" borderId="0" xfId="0" applyNumberFormat="1" applyFont="1" applyFill="1" applyBorder="1"/>
    <xf numFmtId="6" fontId="3" fillId="3" borderId="2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164" fontId="0" fillId="0" borderId="0" xfId="0" applyNumberFormat="1"/>
    <xf numFmtId="164" fontId="3" fillId="3" borderId="1" xfId="0" applyNumberFormat="1" applyFont="1" applyFill="1" applyBorder="1"/>
    <xf numFmtId="164" fontId="3" fillId="3" borderId="0" xfId="0" applyNumberFormat="1" applyFont="1" applyFill="1" applyBorder="1"/>
    <xf numFmtId="164" fontId="3" fillId="3" borderId="2" xfId="0" applyNumberFormat="1" applyFont="1" applyFill="1" applyBorder="1"/>
    <xf numFmtId="165" fontId="2" fillId="2" borderId="0" xfId="0" applyNumberFormat="1" applyFont="1" applyFill="1" applyAlignment="1">
      <alignment horizontal="center"/>
    </xf>
    <xf numFmtId="165" fontId="0" fillId="0" borderId="0" xfId="0" applyNumberFormat="1"/>
    <xf numFmtId="165" fontId="3" fillId="3" borderId="1" xfId="0" applyNumberFormat="1" applyFont="1" applyFill="1" applyBorder="1"/>
    <xf numFmtId="165" fontId="3" fillId="3" borderId="0" xfId="0" applyNumberFormat="1" applyFont="1" applyFill="1" applyBorder="1"/>
    <xf numFmtId="165" fontId="3" fillId="3" borderId="2" xfId="0" applyNumberFormat="1" applyFont="1" applyFill="1" applyBorder="1"/>
    <xf numFmtId="166" fontId="0" fillId="0" borderId="0" xfId="0" applyNumberFormat="1"/>
    <xf numFmtId="167" fontId="0" fillId="0" borderId="0" xfId="0" applyNumberFormat="1"/>
    <xf numFmtId="40" fontId="2" fillId="2" borderId="0" xfId="0" applyNumberFormat="1" applyFont="1" applyFill="1" applyAlignment="1">
      <alignment horizontal="center"/>
    </xf>
    <xf numFmtId="40" fontId="0" fillId="0" borderId="0" xfId="0" applyNumberFormat="1"/>
    <xf numFmtId="40" fontId="3" fillId="3" borderId="1" xfId="0" applyNumberFormat="1" applyFont="1" applyFill="1" applyBorder="1"/>
    <xf numFmtId="40" fontId="3" fillId="3" borderId="0" xfId="0" applyNumberFormat="1" applyFont="1" applyFill="1" applyBorder="1"/>
    <xf numFmtId="40" fontId="3" fillId="3" borderId="2" xfId="0" applyNumberFormat="1" applyFont="1" applyFill="1" applyBorder="1"/>
    <xf numFmtId="8" fontId="2" fillId="2" borderId="0" xfId="0" applyNumberFormat="1" applyFont="1" applyFill="1" applyAlignment="1">
      <alignment horizontal="center"/>
    </xf>
    <xf numFmtId="8" fontId="0" fillId="0" borderId="0" xfId="0" applyNumberFormat="1"/>
    <xf numFmtId="8" fontId="3" fillId="3" borderId="1" xfId="0" applyNumberFormat="1" applyFont="1" applyFill="1" applyBorder="1"/>
    <xf numFmtId="8" fontId="3" fillId="3" borderId="0" xfId="0" applyNumberFormat="1" applyFont="1" applyFill="1" applyBorder="1"/>
    <xf numFmtId="8" fontId="3" fillId="3" borderId="2" xfId="0" applyNumberFormat="1" applyFont="1" applyFill="1" applyBorder="1"/>
    <xf numFmtId="8" fontId="3" fillId="4" borderId="1" xfId="0" applyNumberFormat="1" applyFont="1" applyFill="1" applyBorder="1"/>
    <xf numFmtId="6" fontId="1" fillId="4" borderId="3" xfId="0" applyNumberFormat="1" applyFont="1" applyFill="1" applyBorder="1"/>
    <xf numFmtId="6" fontId="1" fillId="4" borderId="4" xfId="0" applyNumberFormat="1" applyFont="1" applyFill="1" applyBorder="1"/>
    <xf numFmtId="6" fontId="1" fillId="4" borderId="5" xfId="0" applyNumberFormat="1" applyFont="1" applyFill="1" applyBorder="1"/>
    <xf numFmtId="6" fontId="1" fillId="4" borderId="6" xfId="0" applyNumberFormat="1" applyFont="1" applyFill="1" applyBorder="1"/>
    <xf numFmtId="38" fontId="0" fillId="0" borderId="0" xfId="0" applyNumberFormat="1"/>
    <xf numFmtId="8" fontId="3" fillId="4" borderId="2" xfId="0" applyNumberFormat="1" applyFont="1" applyFill="1" applyBorder="1"/>
    <xf numFmtId="164" fontId="1" fillId="4" borderId="3" xfId="0" applyNumberFormat="1" applyFont="1" applyFill="1" applyBorder="1"/>
    <xf numFmtId="6" fontId="1" fillId="4" borderId="7" xfId="0" applyNumberFormat="1" applyFont="1" applyFill="1" applyBorder="1"/>
    <xf numFmtId="164" fontId="1" fillId="4" borderId="8" xfId="0" applyNumberFormat="1" applyFont="1" applyFill="1" applyBorder="1"/>
    <xf numFmtId="6" fontId="1" fillId="4" borderId="0" xfId="0" applyNumberFormat="1" applyFont="1" applyFill="1" applyBorder="1"/>
    <xf numFmtId="6" fontId="1" fillId="4" borderId="9" xfId="0" applyNumberFormat="1" applyFont="1" applyFill="1" applyBorder="1"/>
    <xf numFmtId="164" fontId="1" fillId="4" borderId="5" xfId="0" applyNumberFormat="1" applyFont="1" applyFill="1" applyBorder="1"/>
    <xf numFmtId="6" fontId="1" fillId="4" borderId="10" xfId="0" applyNumberFormat="1" applyFont="1" applyFill="1" applyBorder="1"/>
  </cellXfs>
  <cellStyles count="1">
    <cellStyle name="Normal" xfId="0" builtinId="0"/>
  </cellStyles>
  <dxfs count="4"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L-4015A's%20(items%20sent%20to%20Wayne%20County)\2025%204015's%20COMPLETE\LAND\Master%20LAND%20Commercial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RCIAL LAND SUMMARY"/>
      <sheetName val="2025 VACANT LAND SALES "/>
      <sheetName val="2024 NORTHWEST"/>
      <sheetName val="2024 CENTRAL"/>
      <sheetName val="2024 AIRPORT"/>
      <sheetName val="2024 DOWNRIVER "/>
      <sheetName val="2024 DETROIT INFL"/>
      <sheetName val="2024 POINTES AND HW "/>
      <sheetName val="2025 COMM SALES ALL"/>
      <sheetName val="All Industrial LAND"/>
      <sheetName val="MatchREF &amp; 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Townships</v>
          </cell>
        </row>
        <row r="2">
          <cell r="A2">
            <v>70</v>
          </cell>
          <cell r="B2" t="str">
            <v>BROWNSTOWN</v>
          </cell>
        </row>
        <row r="3">
          <cell r="A3">
            <v>71</v>
          </cell>
          <cell r="B3" t="str">
            <v>CANTON</v>
          </cell>
        </row>
        <row r="4">
          <cell r="A4">
            <v>73</v>
          </cell>
          <cell r="B4" t="str">
            <v>GROSSE ILE</v>
          </cell>
        </row>
        <row r="5">
          <cell r="A5">
            <v>75</v>
          </cell>
          <cell r="B5" t="str">
            <v>HURON</v>
          </cell>
        </row>
        <row r="6">
          <cell r="A6">
            <v>77</v>
          </cell>
          <cell r="B6" t="str">
            <v>NORTHVILLE TWP</v>
          </cell>
        </row>
        <row r="7">
          <cell r="A7">
            <v>78</v>
          </cell>
          <cell r="B7" t="str">
            <v>PLYMOUTH TWP</v>
          </cell>
        </row>
        <row r="8">
          <cell r="A8">
            <v>79</v>
          </cell>
          <cell r="B8" t="str">
            <v>REDFORD</v>
          </cell>
        </row>
        <row r="9">
          <cell r="A9">
            <v>81</v>
          </cell>
          <cell r="B9" t="str">
            <v>SUMPTER</v>
          </cell>
        </row>
        <row r="10">
          <cell r="A10">
            <v>83</v>
          </cell>
          <cell r="B10" t="str">
            <v>VAN BUREN</v>
          </cell>
        </row>
        <row r="12">
          <cell r="A12" t="str">
            <v>CITIES</v>
          </cell>
        </row>
        <row r="13">
          <cell r="A13">
            <v>30</v>
          </cell>
          <cell r="B13" t="str">
            <v>ALLEN PARK</v>
          </cell>
        </row>
        <row r="14">
          <cell r="A14">
            <v>31</v>
          </cell>
          <cell r="B14" t="str">
            <v>BELLEVILLE</v>
          </cell>
        </row>
        <row r="15">
          <cell r="A15">
            <v>32</v>
          </cell>
          <cell r="B15" t="str">
            <v>DEARBORN</v>
          </cell>
        </row>
        <row r="16">
          <cell r="A16">
            <v>82</v>
          </cell>
          <cell r="B16" t="str">
            <v>DEARBORN</v>
          </cell>
        </row>
        <row r="17">
          <cell r="A17">
            <v>33</v>
          </cell>
          <cell r="B17" t="str">
            <v>DEARBORN HEIGHTS</v>
          </cell>
        </row>
        <row r="18">
          <cell r="A18">
            <v>34</v>
          </cell>
          <cell r="B18" t="str">
            <v>ECORSE</v>
          </cell>
        </row>
        <row r="19">
          <cell r="A19">
            <v>58</v>
          </cell>
          <cell r="B19" t="str">
            <v>FLAT ROCK</v>
          </cell>
        </row>
        <row r="20">
          <cell r="A20">
            <v>35</v>
          </cell>
          <cell r="B20" t="str">
            <v>GARDEN CITY</v>
          </cell>
        </row>
        <row r="21">
          <cell r="A21">
            <v>36</v>
          </cell>
          <cell r="B21" t="str">
            <v>GIBRALTAR</v>
          </cell>
        </row>
        <row r="22">
          <cell r="A22">
            <v>37</v>
          </cell>
          <cell r="B22" t="str">
            <v>GROSSE POINTE</v>
          </cell>
        </row>
        <row r="23">
          <cell r="A23">
            <v>38</v>
          </cell>
          <cell r="B23" t="str">
            <v>GROSSE PTE FARMS</v>
          </cell>
        </row>
        <row r="24">
          <cell r="A24">
            <v>39</v>
          </cell>
          <cell r="B24" t="str">
            <v>GROSSE PTE PARK</v>
          </cell>
        </row>
        <row r="25">
          <cell r="A25">
            <v>74</v>
          </cell>
          <cell r="B25" t="str">
            <v>GROSSE PTE SHORES</v>
          </cell>
        </row>
        <row r="26">
          <cell r="A26">
            <v>40</v>
          </cell>
          <cell r="B26" t="str">
            <v>GROSSE PTE WOODS</v>
          </cell>
        </row>
        <row r="27">
          <cell r="A27">
            <v>41</v>
          </cell>
          <cell r="B27" t="str">
            <v>HAMTRAMCK</v>
          </cell>
        </row>
        <row r="28">
          <cell r="A28">
            <v>42</v>
          </cell>
          <cell r="B28" t="str">
            <v>HARPER WOODS</v>
          </cell>
        </row>
        <row r="29">
          <cell r="A29">
            <v>43</v>
          </cell>
          <cell r="B29" t="str">
            <v>HIGHLAND PARK</v>
          </cell>
        </row>
        <row r="30">
          <cell r="A30">
            <v>44</v>
          </cell>
          <cell r="B30" t="str">
            <v>INKSTER</v>
          </cell>
        </row>
        <row r="31">
          <cell r="A31">
            <v>45</v>
          </cell>
          <cell r="B31" t="str">
            <v>LINCOLN PARK</v>
          </cell>
        </row>
        <row r="32">
          <cell r="A32">
            <v>46</v>
          </cell>
          <cell r="B32" t="str">
            <v>LIVONIA</v>
          </cell>
        </row>
        <row r="33">
          <cell r="A33">
            <v>47</v>
          </cell>
          <cell r="B33" t="str">
            <v>MELVINDALE</v>
          </cell>
        </row>
        <row r="34">
          <cell r="A34">
            <v>48</v>
          </cell>
          <cell r="B34" t="str">
            <v>NORTHVILLE CITY</v>
          </cell>
        </row>
        <row r="35">
          <cell r="A35">
            <v>49</v>
          </cell>
          <cell r="B35" t="str">
            <v>PLYMOUTH CITY</v>
          </cell>
        </row>
        <row r="36">
          <cell r="A36">
            <v>50</v>
          </cell>
          <cell r="B36" t="str">
            <v>RIVER ROUGE</v>
          </cell>
        </row>
        <row r="37">
          <cell r="A37">
            <v>51</v>
          </cell>
          <cell r="B37" t="str">
            <v>RIVERVIEW</v>
          </cell>
        </row>
        <row r="38">
          <cell r="A38">
            <v>52</v>
          </cell>
          <cell r="B38" t="str">
            <v>ROCKWOOD</v>
          </cell>
        </row>
        <row r="39">
          <cell r="A39">
            <v>80</v>
          </cell>
          <cell r="B39" t="str">
            <v>ROMULUS</v>
          </cell>
        </row>
        <row r="40">
          <cell r="A40">
            <v>53</v>
          </cell>
          <cell r="B40" t="str">
            <v>SOUTHGATE</v>
          </cell>
        </row>
        <row r="41">
          <cell r="A41">
            <v>60</v>
          </cell>
          <cell r="B41" t="str">
            <v>TAYLOR</v>
          </cell>
        </row>
        <row r="42">
          <cell r="A42">
            <v>54</v>
          </cell>
          <cell r="B42" t="str">
            <v>TRENTON</v>
          </cell>
        </row>
        <row r="43">
          <cell r="A43">
            <v>55</v>
          </cell>
          <cell r="B43" t="str">
            <v>WAYNE</v>
          </cell>
        </row>
        <row r="44">
          <cell r="A44">
            <v>56</v>
          </cell>
          <cell r="B44" t="str">
            <v>WESTLAND</v>
          </cell>
        </row>
        <row r="45">
          <cell r="A45">
            <v>59</v>
          </cell>
          <cell r="B45" t="str">
            <v>WOODHAVEN</v>
          </cell>
        </row>
        <row r="46">
          <cell r="A46">
            <v>57</v>
          </cell>
          <cell r="B46" t="str">
            <v>WYANDOTTE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workbookViewId="0">
      <selection activeCell="G16" sqref="G16"/>
    </sheetView>
  </sheetViews>
  <sheetFormatPr defaultRowHeight="15" x14ac:dyDescent="0.25"/>
  <cols>
    <col min="1" max="1" width="12.7109375" bestFit="1" customWidth="1"/>
    <col min="2" max="2" width="16.85546875" bestFit="1" customWidth="1"/>
    <col min="3" max="3" width="18.7109375" bestFit="1" customWidth="1"/>
    <col min="4" max="4" width="9.28515625" style="24" bestFit="1" customWidth="1"/>
    <col min="5" max="5" width="11.85546875" style="14" bestFit="1" customWidth="1"/>
    <col min="6" max="6" width="8.7109375" bestFit="1" customWidth="1"/>
    <col min="7" max="7" width="30.140625" bestFit="1" customWidth="1"/>
    <col min="8" max="9" width="17.7109375" style="14" customWidth="1"/>
    <col min="10" max="10" width="18.7109375" style="19" customWidth="1"/>
    <col min="11" max="11" width="17.7109375" style="14" customWidth="1"/>
    <col min="12" max="12" width="18.7109375" style="14" customWidth="1"/>
    <col min="13" max="13" width="20.7109375" style="14" customWidth="1"/>
    <col min="14" max="14" width="17.7109375" style="28" customWidth="1"/>
    <col min="15" max="15" width="10.7109375" style="29" customWidth="1"/>
    <col min="16" max="16" width="14.7109375" style="31" customWidth="1"/>
    <col min="17" max="17" width="16.7109375" style="31" customWidth="1"/>
    <col min="18" max="18" width="15.7109375" style="14" customWidth="1"/>
    <col min="19" max="19" width="17.7109375" style="14" customWidth="1"/>
  </cols>
  <sheetData>
    <row r="1" spans="1:19" x14ac:dyDescent="0.25">
      <c r="A1" s="1" t="s">
        <v>106</v>
      </c>
    </row>
    <row r="2" spans="1:19" x14ac:dyDescent="0.25">
      <c r="A2" s="2" t="s">
        <v>58</v>
      </c>
      <c r="B2" s="2" t="s">
        <v>0</v>
      </c>
      <c r="C2" s="2" t="s">
        <v>1</v>
      </c>
      <c r="D2" s="23" t="s">
        <v>2</v>
      </c>
      <c r="E2" s="13" t="s">
        <v>3</v>
      </c>
      <c r="F2" s="2" t="s">
        <v>4</v>
      </c>
      <c r="G2" s="2" t="s">
        <v>5</v>
      </c>
      <c r="H2" s="13" t="s">
        <v>6</v>
      </c>
      <c r="I2" s="13" t="s">
        <v>7</v>
      </c>
      <c r="J2" s="18" t="s">
        <v>8</v>
      </c>
      <c r="K2" s="13" t="s">
        <v>9</v>
      </c>
      <c r="L2" s="13" t="s">
        <v>10</v>
      </c>
      <c r="M2" s="13" t="s">
        <v>11</v>
      </c>
      <c r="N2" s="30" t="s">
        <v>12</v>
      </c>
      <c r="O2" s="30" t="s">
        <v>104</v>
      </c>
      <c r="P2" s="35" t="s">
        <v>13</v>
      </c>
      <c r="Q2" s="4" t="s">
        <v>14</v>
      </c>
      <c r="R2" s="2" t="s">
        <v>15</v>
      </c>
      <c r="S2" s="2" t="s">
        <v>16</v>
      </c>
    </row>
    <row r="3" spans="1:19" x14ac:dyDescent="0.25">
      <c r="A3" t="str">
        <f>IFERROR(INDEX('[1]MatchREF &amp; Lists'!$A$1:$B$46,MATCH(LEFT(B3,2)*1,'[1]MatchREF &amp; Lists'!$A$1:$A$46,0),2),"")</f>
        <v>ECORSE</v>
      </c>
      <c r="B3" t="s">
        <v>86</v>
      </c>
      <c r="C3" t="s">
        <v>87</v>
      </c>
      <c r="D3" s="24">
        <v>44775</v>
      </c>
      <c r="E3" s="14">
        <v>300000</v>
      </c>
      <c r="F3" t="s">
        <v>30</v>
      </c>
      <c r="G3" t="s">
        <v>24</v>
      </c>
      <c r="H3" s="14">
        <v>300000</v>
      </c>
      <c r="I3" s="14">
        <v>162600</v>
      </c>
      <c r="J3" s="19">
        <f>I3/H3</f>
        <v>0.54200000000000004</v>
      </c>
      <c r="K3" s="14">
        <v>446849</v>
      </c>
      <c r="L3" s="14">
        <v>-85865</v>
      </c>
      <c r="M3" s="14">
        <v>60984</v>
      </c>
      <c r="N3" s="31">
        <v>0.7</v>
      </c>
      <c r="O3" s="45">
        <f>N3*43560</f>
        <v>30491.999999999996</v>
      </c>
      <c r="P3" s="36">
        <f>L3/O3</f>
        <v>-2.8159845205299754</v>
      </c>
      <c r="Q3" s="6"/>
      <c r="R3"/>
      <c r="S3" t="s">
        <v>23</v>
      </c>
    </row>
    <row r="4" spans="1:19" x14ac:dyDescent="0.25">
      <c r="A4" t="str">
        <f>IFERROR(INDEX('[1]MatchREF &amp; Lists'!$A$1:$B$46,MATCH(LEFT(B4,2)*1,'[1]MatchREF &amp; Lists'!$A$1:$A$46,0),2),"")</f>
        <v>ECORSE</v>
      </c>
      <c r="B4" t="s">
        <v>88</v>
      </c>
      <c r="C4" t="s">
        <v>89</v>
      </c>
      <c r="D4" s="24">
        <v>45257</v>
      </c>
      <c r="E4" s="14">
        <v>425000</v>
      </c>
      <c r="F4" t="s">
        <v>30</v>
      </c>
      <c r="G4" t="s">
        <v>24</v>
      </c>
      <c r="H4" s="14">
        <v>425000</v>
      </c>
      <c r="I4" s="14">
        <v>164100</v>
      </c>
      <c r="J4" s="19">
        <f>I4/H4</f>
        <v>0.38611764705882351</v>
      </c>
      <c r="K4" s="14">
        <v>527862</v>
      </c>
      <c r="L4" s="14">
        <v>6038</v>
      </c>
      <c r="M4" s="14">
        <v>108900</v>
      </c>
      <c r="N4" s="31">
        <v>1</v>
      </c>
      <c r="O4" s="45">
        <f>N4*43560</f>
        <v>43560</v>
      </c>
      <c r="P4" s="36">
        <f>L4/O4</f>
        <v>0.13861340679522496</v>
      </c>
      <c r="Q4" s="6"/>
      <c r="R4"/>
      <c r="S4" t="s">
        <v>23</v>
      </c>
    </row>
    <row r="5" spans="1:19" x14ac:dyDescent="0.25">
      <c r="A5" t="str">
        <f>IFERROR(INDEX('[1]MatchREF &amp; Lists'!$A$1:$B$46,MATCH(LEFT(B5,2)*1,'[1]MatchREF &amp; Lists'!$A$1:$A$46,0),2),"")</f>
        <v>ECORSE</v>
      </c>
      <c r="B5" t="s">
        <v>102</v>
      </c>
      <c r="C5" t="s">
        <v>103</v>
      </c>
      <c r="D5" s="24">
        <v>44664</v>
      </c>
      <c r="E5" s="14">
        <v>80000</v>
      </c>
      <c r="F5" t="s">
        <v>30</v>
      </c>
      <c r="G5" t="s">
        <v>24</v>
      </c>
      <c r="H5" s="14">
        <v>80000</v>
      </c>
      <c r="I5" s="14">
        <v>22100</v>
      </c>
      <c r="J5" s="19">
        <f>I5/H5</f>
        <v>0.27625</v>
      </c>
      <c r="K5" s="14">
        <v>66562</v>
      </c>
      <c r="L5" s="14">
        <v>20938</v>
      </c>
      <c r="M5" s="14">
        <v>7500</v>
      </c>
      <c r="N5" s="31">
        <v>8.5999999999999993E-2</v>
      </c>
      <c r="O5" s="45">
        <f>N5*43560</f>
        <v>3746.16</v>
      </c>
      <c r="P5" s="36">
        <f>L5/O5</f>
        <v>5.5891899972238237</v>
      </c>
      <c r="Q5" s="6"/>
      <c r="R5"/>
      <c r="S5" t="s">
        <v>23</v>
      </c>
    </row>
    <row r="6" spans="1:19" x14ac:dyDescent="0.25">
      <c r="A6" t="s">
        <v>59</v>
      </c>
      <c r="B6" t="s">
        <v>17</v>
      </c>
      <c r="C6" t="s">
        <v>18</v>
      </c>
      <c r="D6" s="24">
        <v>44757</v>
      </c>
      <c r="E6" s="14">
        <v>105000</v>
      </c>
      <c r="F6" t="s">
        <v>19</v>
      </c>
      <c r="G6" t="s">
        <v>20</v>
      </c>
      <c r="H6" s="14">
        <v>105000</v>
      </c>
      <c r="I6" s="14">
        <v>25800</v>
      </c>
      <c r="J6" s="19">
        <f>I6/H6*100</f>
        <v>24.571428571428573</v>
      </c>
      <c r="K6" s="14">
        <v>55474</v>
      </c>
      <c r="L6" s="14">
        <f>H6-41600</f>
        <v>63400</v>
      </c>
      <c r="M6" s="14">
        <v>13874</v>
      </c>
      <c r="N6" s="31">
        <v>9.8000000000000004E-2</v>
      </c>
      <c r="O6" s="45">
        <f>N6*43560</f>
        <v>4268.88</v>
      </c>
      <c r="P6" s="36">
        <f>L6/N6/43560</f>
        <v>14.851670695826538</v>
      </c>
      <c r="Q6" s="6" t="s">
        <v>21</v>
      </c>
      <c r="R6" t="s">
        <v>22</v>
      </c>
      <c r="S6" t="s">
        <v>23</v>
      </c>
    </row>
    <row r="7" spans="1:19" x14ac:dyDescent="0.25">
      <c r="A7" t="s">
        <v>59</v>
      </c>
      <c r="B7" t="s">
        <v>26</v>
      </c>
      <c r="C7" t="s">
        <v>27</v>
      </c>
      <c r="D7" s="24">
        <v>45212</v>
      </c>
      <c r="E7" s="14">
        <v>133000</v>
      </c>
      <c r="F7" t="s">
        <v>19</v>
      </c>
      <c r="G7" t="s">
        <v>24</v>
      </c>
      <c r="H7" s="14">
        <v>133000</v>
      </c>
      <c r="I7" s="14">
        <v>21200</v>
      </c>
      <c r="J7" s="19">
        <f>I7/H7*100</f>
        <v>15.939849624060152</v>
      </c>
      <c r="K7" s="14">
        <v>53273</v>
      </c>
      <c r="L7" s="14">
        <f>H7-45628</f>
        <v>87372</v>
      </c>
      <c r="M7" s="14">
        <v>7645</v>
      </c>
      <c r="N7" s="31">
        <v>5.3999999999999999E-2</v>
      </c>
      <c r="O7" s="45">
        <f>N7*43560</f>
        <v>2352.2399999999998</v>
      </c>
      <c r="P7" s="36">
        <f>L7/N7/43560</f>
        <v>37.144168962350783</v>
      </c>
      <c r="Q7" s="6" t="s">
        <v>28</v>
      </c>
      <c r="R7" t="s">
        <v>29</v>
      </c>
      <c r="S7" t="s">
        <v>23</v>
      </c>
    </row>
    <row r="8" spans="1:19" x14ac:dyDescent="0.25">
      <c r="A8" t="s">
        <v>59</v>
      </c>
      <c r="B8" t="s">
        <v>31</v>
      </c>
      <c r="C8" t="s">
        <v>32</v>
      </c>
      <c r="D8" s="24">
        <v>44932</v>
      </c>
      <c r="E8" s="14">
        <v>125000</v>
      </c>
      <c r="F8" t="s">
        <v>19</v>
      </c>
      <c r="G8" t="s">
        <v>20</v>
      </c>
      <c r="H8" s="14">
        <v>125000</v>
      </c>
      <c r="I8" s="14">
        <v>32700</v>
      </c>
      <c r="J8" s="19">
        <f>I8/H8*100</f>
        <v>26.16</v>
      </c>
      <c r="K8" s="14">
        <v>72817</v>
      </c>
      <c r="L8" s="14">
        <f>H8-42238</f>
        <v>82762</v>
      </c>
      <c r="M8" s="14">
        <v>30579</v>
      </c>
      <c r="N8" s="31">
        <v>0.216</v>
      </c>
      <c r="O8" s="45">
        <f>N8*43560</f>
        <v>9408.9599999999991</v>
      </c>
      <c r="P8" s="36">
        <f>L8/N8/43560</f>
        <v>8.79608373295242</v>
      </c>
      <c r="Q8" s="6" t="s">
        <v>33</v>
      </c>
      <c r="R8" t="s">
        <v>34</v>
      </c>
      <c r="S8" t="s">
        <v>23</v>
      </c>
    </row>
    <row r="9" spans="1:19" x14ac:dyDescent="0.25">
      <c r="A9" t="s">
        <v>59</v>
      </c>
      <c r="B9" t="s">
        <v>42</v>
      </c>
      <c r="C9" t="s">
        <v>43</v>
      </c>
      <c r="D9" s="24">
        <v>44916</v>
      </c>
      <c r="E9" s="14">
        <v>750000</v>
      </c>
      <c r="F9" t="s">
        <v>19</v>
      </c>
      <c r="G9" t="s">
        <v>24</v>
      </c>
      <c r="H9" s="14">
        <v>750000</v>
      </c>
      <c r="I9" s="14">
        <v>267800</v>
      </c>
      <c r="J9" s="19">
        <f>I9/H9*100</f>
        <v>35.706666666666663</v>
      </c>
      <c r="K9" s="14">
        <v>605626</v>
      </c>
      <c r="L9" s="14">
        <f>H9-546167</f>
        <v>203833</v>
      </c>
      <c r="M9" s="14">
        <v>59459</v>
      </c>
      <c r="N9" s="31">
        <v>0.42</v>
      </c>
      <c r="O9" s="45">
        <f>N9*43560</f>
        <v>18295.2</v>
      </c>
      <c r="P9" s="36">
        <f>L9/N9/43560</f>
        <v>11.141337618610347</v>
      </c>
      <c r="Q9" s="6" t="s">
        <v>21</v>
      </c>
      <c r="R9"/>
      <c r="S9" t="s">
        <v>23</v>
      </c>
    </row>
    <row r="10" spans="1:19" ht="15.75" thickBot="1" x14ac:dyDescent="0.3">
      <c r="A10" t="s">
        <v>59</v>
      </c>
      <c r="B10" t="s">
        <v>44</v>
      </c>
      <c r="C10" t="s">
        <v>45</v>
      </c>
      <c r="D10" s="24">
        <v>44980</v>
      </c>
      <c r="E10" s="14">
        <v>65000</v>
      </c>
      <c r="F10" t="s">
        <v>46</v>
      </c>
      <c r="G10" t="s">
        <v>24</v>
      </c>
      <c r="H10" s="14">
        <v>65000</v>
      </c>
      <c r="I10" s="14">
        <v>32300</v>
      </c>
      <c r="J10" s="19">
        <f>I10/H10*100</f>
        <v>49.692307692307693</v>
      </c>
      <c r="K10" s="14">
        <v>65617</v>
      </c>
      <c r="L10" s="14">
        <f>H10-54291</f>
        <v>10709</v>
      </c>
      <c r="M10" s="14">
        <v>11326</v>
      </c>
      <c r="N10" s="31">
        <v>0.08</v>
      </c>
      <c r="O10" s="45">
        <f>N10*43560</f>
        <v>3484.8</v>
      </c>
      <c r="P10" s="36">
        <f>L10/N10/43560</f>
        <v>3.0730601469237833</v>
      </c>
      <c r="Q10" s="6" t="s">
        <v>28</v>
      </c>
      <c r="R10"/>
      <c r="S10" t="s">
        <v>23</v>
      </c>
    </row>
    <row r="11" spans="1:19" ht="15.75" thickBot="1" x14ac:dyDescent="0.3">
      <c r="A11" t="s">
        <v>59</v>
      </c>
      <c r="B11" t="s">
        <v>47</v>
      </c>
      <c r="C11" t="s">
        <v>48</v>
      </c>
      <c r="D11" s="24">
        <v>45359</v>
      </c>
      <c r="E11" s="14">
        <v>50000</v>
      </c>
      <c r="F11" t="s">
        <v>30</v>
      </c>
      <c r="G11" t="s">
        <v>24</v>
      </c>
      <c r="H11" s="14">
        <v>50000</v>
      </c>
      <c r="I11" s="14">
        <v>26900</v>
      </c>
      <c r="J11" s="19">
        <f>I11/H11*100</f>
        <v>53.800000000000004</v>
      </c>
      <c r="K11" s="14">
        <v>52659</v>
      </c>
      <c r="L11" s="14">
        <f>H11-21938</f>
        <v>28062</v>
      </c>
      <c r="M11" s="14">
        <v>30721</v>
      </c>
      <c r="N11" s="31">
        <v>0.217</v>
      </c>
      <c r="O11" s="45">
        <f>N11*43560</f>
        <v>9452.52</v>
      </c>
      <c r="P11" s="36">
        <f>L11/N11/43560</f>
        <v>2.9687321476177781</v>
      </c>
      <c r="Q11" s="6" t="s">
        <v>25</v>
      </c>
      <c r="R11"/>
      <c r="S11" t="s">
        <v>23</v>
      </c>
    </row>
    <row r="12" spans="1:19" ht="15.75" thickTop="1" x14ac:dyDescent="0.25">
      <c r="A12" s="7"/>
      <c r="B12" s="7"/>
      <c r="C12" s="7"/>
      <c r="D12" s="25" t="s">
        <v>52</v>
      </c>
      <c r="E12" s="15">
        <f>+SUM(E3:E11)</f>
        <v>2033000</v>
      </c>
      <c r="F12" s="7"/>
      <c r="G12" s="7"/>
      <c r="H12" s="15">
        <f>+SUM(H3:H11)</f>
        <v>2033000</v>
      </c>
      <c r="I12" s="15">
        <f>+SUM(I3:I11)</f>
        <v>755500</v>
      </c>
      <c r="J12" s="20"/>
      <c r="K12" s="15">
        <f>+SUM(K3:K11)</f>
        <v>1946739</v>
      </c>
      <c r="L12" s="15">
        <f>+SUM(L3:L11)</f>
        <v>417249</v>
      </c>
      <c r="M12" s="15">
        <f>+SUM(M3:M11)</f>
        <v>330988</v>
      </c>
      <c r="N12" s="32">
        <f>+SUM(N3:N11)</f>
        <v>2.8710000000000004</v>
      </c>
      <c r="O12" s="32"/>
      <c r="P12" s="37"/>
      <c r="Q12" s="8"/>
      <c r="R12" s="7"/>
      <c r="S12" s="7"/>
    </row>
    <row r="13" spans="1:19" x14ac:dyDescent="0.25">
      <c r="A13" s="9"/>
      <c r="B13" s="9"/>
      <c r="C13" s="9"/>
      <c r="D13" s="26"/>
      <c r="E13" s="16"/>
      <c r="F13" s="9"/>
      <c r="G13" s="9"/>
      <c r="H13" s="16"/>
      <c r="I13" s="16" t="s">
        <v>53</v>
      </c>
      <c r="J13" s="21">
        <f>I12/H12*100</f>
        <v>37.161829808165272</v>
      </c>
      <c r="K13" s="16"/>
      <c r="L13" s="16"/>
      <c r="M13" s="16"/>
      <c r="N13" s="16" t="s">
        <v>54</v>
      </c>
      <c r="O13" s="38"/>
      <c r="P13" s="33"/>
      <c r="Q13" s="10"/>
      <c r="R13" s="9"/>
      <c r="S13" s="9"/>
    </row>
    <row r="14" spans="1:19" ht="15.75" thickBot="1" x14ac:dyDescent="0.3">
      <c r="A14" s="11"/>
      <c r="B14" s="11"/>
      <c r="C14" s="11"/>
      <c r="D14" s="27"/>
      <c r="E14" s="17"/>
      <c r="F14" s="11"/>
      <c r="G14" s="11"/>
      <c r="H14" s="17"/>
      <c r="I14" s="17" t="s">
        <v>55</v>
      </c>
      <c r="J14" s="21">
        <f>STDEV(J3:J11)</f>
        <v>20.666993653086386</v>
      </c>
      <c r="K14" s="16"/>
      <c r="L14" s="17"/>
      <c r="M14" s="17"/>
      <c r="N14" s="17" t="s">
        <v>57</v>
      </c>
      <c r="O14" s="46">
        <f>L12/N12/43560</f>
        <v>3.3363702571454064</v>
      </c>
      <c r="P14" s="34"/>
      <c r="Q14" s="12"/>
      <c r="R14" s="11"/>
      <c r="S14" s="11"/>
    </row>
    <row r="15" spans="1:19" x14ac:dyDescent="0.25">
      <c r="J15" s="47" t="s">
        <v>82</v>
      </c>
      <c r="K15" s="42"/>
    </row>
    <row r="16" spans="1:19" ht="15.75" thickBot="1" x14ac:dyDescent="0.3">
      <c r="J16" s="52" t="s">
        <v>107</v>
      </c>
      <c r="K16" s="44"/>
    </row>
    <row r="20" spans="1:19" x14ac:dyDescent="0.25">
      <c r="A20" s="1" t="s">
        <v>105</v>
      </c>
    </row>
    <row r="21" spans="1:19" x14ac:dyDescent="0.25">
      <c r="A21" s="2" t="s">
        <v>58</v>
      </c>
      <c r="B21" s="2" t="s">
        <v>0</v>
      </c>
      <c r="C21" s="2" t="s">
        <v>1</v>
      </c>
      <c r="D21" s="23" t="s">
        <v>2</v>
      </c>
      <c r="E21" s="13" t="s">
        <v>3</v>
      </c>
      <c r="F21" s="2" t="s">
        <v>4</v>
      </c>
      <c r="G21" s="2" t="s">
        <v>5</v>
      </c>
      <c r="H21" s="13" t="s">
        <v>6</v>
      </c>
      <c r="I21" s="13" t="s">
        <v>7</v>
      </c>
      <c r="J21" s="18" t="s">
        <v>8</v>
      </c>
      <c r="K21" s="13" t="s">
        <v>9</v>
      </c>
      <c r="L21" s="13" t="s">
        <v>10</v>
      </c>
      <c r="M21" s="13" t="s">
        <v>11</v>
      </c>
      <c r="N21" s="30" t="s">
        <v>12</v>
      </c>
      <c r="O21" s="30" t="s">
        <v>104</v>
      </c>
      <c r="P21" s="35" t="s">
        <v>13</v>
      </c>
      <c r="Q21" s="4" t="s">
        <v>14</v>
      </c>
      <c r="R21" s="2" t="s">
        <v>15</v>
      </c>
      <c r="S21" s="2" t="s">
        <v>16</v>
      </c>
    </row>
    <row r="22" spans="1:19" x14ac:dyDescent="0.25">
      <c r="A22" t="str">
        <f>IFERROR(INDEX('[1]MatchREF &amp; Lists'!$A$1:$B$46,MATCH(LEFT(B22,2)*1,'[1]MatchREF &amp; Lists'!$A$1:$A$46,0),2),"")</f>
        <v>ECORSE</v>
      </c>
      <c r="B22" t="s">
        <v>84</v>
      </c>
      <c r="C22" t="s">
        <v>85</v>
      </c>
      <c r="D22" s="24">
        <v>44720</v>
      </c>
      <c r="E22" s="14">
        <v>250000</v>
      </c>
      <c r="F22" t="s">
        <v>30</v>
      </c>
      <c r="G22" t="s">
        <v>24</v>
      </c>
      <c r="H22" s="14">
        <v>250000</v>
      </c>
      <c r="I22" s="14">
        <v>95500</v>
      </c>
      <c r="J22" s="19">
        <f>I22/H22</f>
        <v>0.38200000000000001</v>
      </c>
      <c r="K22" s="14">
        <v>179896</v>
      </c>
      <c r="L22" s="14">
        <v>85104</v>
      </c>
      <c r="M22" s="14">
        <v>15000</v>
      </c>
      <c r="N22" s="31">
        <v>0.13800000000000001</v>
      </c>
      <c r="O22" s="45">
        <f>N22*43560</f>
        <v>6011.2800000000007</v>
      </c>
      <c r="P22" s="36">
        <f>L22/O22</f>
        <v>14.157384117858424</v>
      </c>
      <c r="Q22" s="6"/>
      <c r="R22"/>
      <c r="S22" t="s">
        <v>23</v>
      </c>
    </row>
    <row r="23" spans="1:19" x14ac:dyDescent="0.25">
      <c r="A23" t="str">
        <f>IFERROR(INDEX('[1]MatchREF &amp; Lists'!$A$1:$B$46,MATCH(LEFT(B23,2)*1,'[1]MatchREF &amp; Lists'!$A$1:$A$46,0),2),"")</f>
        <v>ECORSE</v>
      </c>
      <c r="B23" t="s">
        <v>90</v>
      </c>
      <c r="C23" t="s">
        <v>91</v>
      </c>
      <c r="D23" s="24">
        <v>44957</v>
      </c>
      <c r="E23" s="14">
        <v>70000</v>
      </c>
      <c r="F23" t="s">
        <v>30</v>
      </c>
      <c r="G23" t="s">
        <v>24</v>
      </c>
      <c r="H23" s="14">
        <v>70000</v>
      </c>
      <c r="I23" s="14">
        <v>39300</v>
      </c>
      <c r="J23" s="19">
        <f>I23/H23</f>
        <v>0.56142857142857139</v>
      </c>
      <c r="K23" s="14">
        <v>67676</v>
      </c>
      <c r="L23" s="14">
        <v>14324</v>
      </c>
      <c r="M23" s="14">
        <v>12000</v>
      </c>
      <c r="N23" s="31">
        <v>0.184</v>
      </c>
      <c r="O23" s="45">
        <f>N23*43560</f>
        <v>8015.04</v>
      </c>
      <c r="P23" s="36">
        <f>L23/O23</f>
        <v>1.7871401764682397</v>
      </c>
      <c r="Q23" s="6"/>
      <c r="R23"/>
      <c r="S23" t="s">
        <v>23</v>
      </c>
    </row>
    <row r="24" spans="1:19" x14ac:dyDescent="0.25">
      <c r="A24" t="str">
        <f>IFERROR(INDEX('[1]MatchREF &amp; Lists'!$A$1:$B$46,MATCH(LEFT(B24,2)*1,'[1]MatchREF &amp; Lists'!$A$1:$A$46,0),2),"")</f>
        <v>ECORSE</v>
      </c>
      <c r="B24" t="s">
        <v>92</v>
      </c>
      <c r="C24" t="s">
        <v>93</v>
      </c>
      <c r="D24" s="24">
        <v>44872</v>
      </c>
      <c r="E24" s="14">
        <v>70000</v>
      </c>
      <c r="F24" t="s">
        <v>30</v>
      </c>
      <c r="G24" t="s">
        <v>24</v>
      </c>
      <c r="H24" s="14">
        <v>70000</v>
      </c>
      <c r="I24" s="14">
        <v>58700</v>
      </c>
      <c r="J24" s="19">
        <f>I24/H24</f>
        <v>0.83857142857142852</v>
      </c>
      <c r="K24" s="14">
        <v>71316</v>
      </c>
      <c r="L24" s="14">
        <v>4894</v>
      </c>
      <c r="M24" s="14">
        <v>6210</v>
      </c>
      <c r="N24" s="31">
        <v>0.14299999999999999</v>
      </c>
      <c r="O24" s="45">
        <f>N24*43560</f>
        <v>6229.08</v>
      </c>
      <c r="P24" s="36">
        <f>L24/O24</f>
        <v>0.78566979393425673</v>
      </c>
      <c r="Q24" s="6"/>
      <c r="R24"/>
      <c r="S24" t="s">
        <v>23</v>
      </c>
    </row>
    <row r="25" spans="1:19" x14ac:dyDescent="0.25">
      <c r="A25" t="str">
        <f>IFERROR(INDEX('[1]MatchREF &amp; Lists'!$A$1:$B$46,MATCH(LEFT(B25,2)*1,'[1]MatchREF &amp; Lists'!$A$1:$A$46,0),2),"")</f>
        <v>ECORSE</v>
      </c>
      <c r="B25" t="s">
        <v>94</v>
      </c>
      <c r="C25" t="s">
        <v>95</v>
      </c>
      <c r="D25" s="24">
        <v>44823</v>
      </c>
      <c r="E25" s="14">
        <v>195000</v>
      </c>
      <c r="F25" t="s">
        <v>30</v>
      </c>
      <c r="G25" t="s">
        <v>24</v>
      </c>
      <c r="H25" s="14">
        <v>195000</v>
      </c>
      <c r="I25" s="14">
        <v>40900</v>
      </c>
      <c r="J25" s="19">
        <f>I25/H25</f>
        <v>0.20974358974358975</v>
      </c>
      <c r="K25" s="14">
        <v>161931</v>
      </c>
      <c r="L25" s="14">
        <v>51189</v>
      </c>
      <c r="M25" s="14">
        <v>18120</v>
      </c>
      <c r="N25" s="31">
        <v>0.20799999999999999</v>
      </c>
      <c r="O25" s="45">
        <f>N25*43560</f>
        <v>9060.48</v>
      </c>
      <c r="P25" s="36">
        <f>L25/O25</f>
        <v>5.6497006781097694</v>
      </c>
      <c r="Q25" s="6"/>
      <c r="R25"/>
      <c r="S25" t="s">
        <v>23</v>
      </c>
    </row>
    <row r="26" spans="1:19" x14ac:dyDescent="0.25">
      <c r="A26" t="str">
        <f>IFERROR(INDEX('[1]MatchREF &amp; Lists'!$A$1:$B$46,MATCH(LEFT(B26,2)*1,'[1]MatchREF &amp; Lists'!$A$1:$A$46,0),2),"")</f>
        <v>ECORSE</v>
      </c>
      <c r="B26" t="s">
        <v>96</v>
      </c>
      <c r="C26" t="s">
        <v>97</v>
      </c>
      <c r="D26" s="24">
        <v>44932</v>
      </c>
      <c r="E26" s="14">
        <v>90000</v>
      </c>
      <c r="F26" t="s">
        <v>30</v>
      </c>
      <c r="G26" t="s">
        <v>24</v>
      </c>
      <c r="H26" s="14">
        <v>90000</v>
      </c>
      <c r="I26" s="14">
        <v>41900</v>
      </c>
      <c r="J26" s="19">
        <f>I26/H26</f>
        <v>0.46555555555555556</v>
      </c>
      <c r="K26" s="14">
        <v>155994</v>
      </c>
      <c r="L26" s="14">
        <v>-41688</v>
      </c>
      <c r="M26" s="14">
        <v>24306</v>
      </c>
      <c r="N26" s="31">
        <v>0.372</v>
      </c>
      <c r="O26" s="45">
        <f>N26*43560</f>
        <v>16204.32</v>
      </c>
      <c r="P26" s="36">
        <f>L26/O26</f>
        <v>-2.5726472940549185</v>
      </c>
      <c r="Q26" s="6"/>
      <c r="R26"/>
      <c r="S26" t="s">
        <v>23</v>
      </c>
    </row>
    <row r="27" spans="1:19" x14ac:dyDescent="0.25">
      <c r="A27" t="str">
        <f>IFERROR(INDEX('[1]MatchREF &amp; Lists'!$A$1:$B$46,MATCH(LEFT(B27,2)*1,'[1]MatchREF &amp; Lists'!$A$1:$A$46,0),2),"")</f>
        <v>ECORSE</v>
      </c>
      <c r="B27" t="s">
        <v>98</v>
      </c>
      <c r="C27" t="s">
        <v>99</v>
      </c>
      <c r="D27" s="24">
        <v>44959</v>
      </c>
      <c r="E27" s="14">
        <v>165000</v>
      </c>
      <c r="F27" t="s">
        <v>30</v>
      </c>
      <c r="G27" t="s">
        <v>24</v>
      </c>
      <c r="H27" s="14">
        <v>165000</v>
      </c>
      <c r="I27" s="14">
        <v>71400</v>
      </c>
      <c r="J27" s="19">
        <f>I27/H27</f>
        <v>0.43272727272727274</v>
      </c>
      <c r="K27" s="14">
        <v>94294</v>
      </c>
      <c r="L27" s="14">
        <v>82467</v>
      </c>
      <c r="M27" s="14">
        <v>11761</v>
      </c>
      <c r="N27" s="31">
        <v>0.18</v>
      </c>
      <c r="O27" s="45">
        <f>N27*43560</f>
        <v>7840.7999999999993</v>
      </c>
      <c r="P27" s="36">
        <f>L27/O27</f>
        <v>10.517676767676768</v>
      </c>
      <c r="Q27" s="6"/>
      <c r="R27"/>
      <c r="S27" t="s">
        <v>23</v>
      </c>
    </row>
    <row r="28" spans="1:19" x14ac:dyDescent="0.25">
      <c r="A28" t="str">
        <f>IFERROR(INDEX('[1]MatchREF &amp; Lists'!$A$1:$B$46,MATCH(LEFT(B28,2)*1,'[1]MatchREF &amp; Lists'!$A$1:$A$46,0),2),"")</f>
        <v>ECORSE</v>
      </c>
      <c r="B28" t="s">
        <v>100</v>
      </c>
      <c r="C28" t="s">
        <v>101</v>
      </c>
      <c r="D28" s="24">
        <v>44910</v>
      </c>
      <c r="E28" s="14">
        <v>152000</v>
      </c>
      <c r="F28" t="s">
        <v>30</v>
      </c>
      <c r="G28" t="s">
        <v>24</v>
      </c>
      <c r="H28" s="14">
        <v>152000</v>
      </c>
      <c r="I28" s="14">
        <v>48800</v>
      </c>
      <c r="J28" s="19">
        <f>I28/H28</f>
        <v>0.32105263157894737</v>
      </c>
      <c r="K28" s="14">
        <v>148044</v>
      </c>
      <c r="L28" s="14">
        <v>8956</v>
      </c>
      <c r="M28" s="14">
        <v>5000</v>
      </c>
      <c r="N28" s="31">
        <v>0.115</v>
      </c>
      <c r="O28" s="45">
        <f>N28*43560</f>
        <v>5009.4000000000005</v>
      </c>
      <c r="P28" s="36">
        <f>L28/O28</f>
        <v>1.7878388629376769</v>
      </c>
      <c r="Q28" s="6"/>
      <c r="R28"/>
      <c r="S28" t="s">
        <v>23</v>
      </c>
    </row>
    <row r="29" spans="1:19" x14ac:dyDescent="0.25">
      <c r="A29" t="s">
        <v>59</v>
      </c>
      <c r="B29" t="s">
        <v>39</v>
      </c>
      <c r="C29" t="s">
        <v>40</v>
      </c>
      <c r="D29" s="24">
        <v>44672</v>
      </c>
      <c r="E29" s="14">
        <v>120000</v>
      </c>
      <c r="F29" t="s">
        <v>19</v>
      </c>
      <c r="G29" t="s">
        <v>24</v>
      </c>
      <c r="H29" s="14">
        <v>120000</v>
      </c>
      <c r="I29" s="14">
        <v>72600</v>
      </c>
      <c r="J29" s="19">
        <f>I29/H29*100</f>
        <v>60.5</v>
      </c>
      <c r="K29" s="14">
        <v>143411</v>
      </c>
      <c r="L29" s="14">
        <f>H29-133793</f>
        <v>-13793</v>
      </c>
      <c r="M29" s="14">
        <v>9618</v>
      </c>
      <c r="N29" s="31">
        <v>9.1999999999999998E-2</v>
      </c>
      <c r="O29" s="45">
        <f>N29*43560</f>
        <v>4007.52</v>
      </c>
      <c r="P29" s="36">
        <f>L29/N29/43560</f>
        <v>-3.4417794546253049</v>
      </c>
      <c r="Q29" s="6" t="s">
        <v>41</v>
      </c>
      <c r="R29"/>
      <c r="S29" t="s">
        <v>23</v>
      </c>
    </row>
    <row r="30" spans="1:19" ht="15.75" thickBot="1" x14ac:dyDescent="0.3">
      <c r="A30" t="s">
        <v>59</v>
      </c>
      <c r="B30" t="s">
        <v>49</v>
      </c>
      <c r="C30" t="s">
        <v>50</v>
      </c>
      <c r="D30" s="24">
        <v>44887</v>
      </c>
      <c r="E30" s="14">
        <v>40000</v>
      </c>
      <c r="F30" t="s">
        <v>51</v>
      </c>
      <c r="G30" t="s">
        <v>24</v>
      </c>
      <c r="H30" s="14">
        <v>40000</v>
      </c>
      <c r="I30" s="14">
        <v>23300</v>
      </c>
      <c r="J30" s="19">
        <f>I30/H30*100</f>
        <v>58.25</v>
      </c>
      <c r="K30" s="14">
        <v>44747</v>
      </c>
      <c r="L30" s="14">
        <f>H30-34815</f>
        <v>5185</v>
      </c>
      <c r="M30" s="14">
        <v>9932</v>
      </c>
      <c r="N30" s="31">
        <v>9.5000000000000001E-2</v>
      </c>
      <c r="O30" s="45">
        <f>N30*43560</f>
        <v>4138.2</v>
      </c>
      <c r="P30" s="36">
        <f>L30/N30/43560</f>
        <v>1.2529602242520903</v>
      </c>
      <c r="Q30" s="6" t="s">
        <v>25</v>
      </c>
      <c r="R30"/>
      <c r="S30" t="s">
        <v>23</v>
      </c>
    </row>
    <row r="31" spans="1:19" ht="15.75" thickTop="1" x14ac:dyDescent="0.25">
      <c r="A31" s="7"/>
      <c r="B31" s="7"/>
      <c r="C31" s="7"/>
      <c r="D31" s="25" t="s">
        <v>52</v>
      </c>
      <c r="E31" s="15">
        <f>+SUM(E22:E30)</f>
        <v>1152000</v>
      </c>
      <c r="F31" s="7"/>
      <c r="G31" s="7"/>
      <c r="H31" s="15">
        <f>+SUM(H22:H30)</f>
        <v>1152000</v>
      </c>
      <c r="I31" s="15">
        <f>+SUM(I22:I30)</f>
        <v>492400</v>
      </c>
      <c r="J31" s="20"/>
      <c r="K31" s="15">
        <f>+SUM(K22:K30)</f>
        <v>1067309</v>
      </c>
      <c r="L31" s="15">
        <f>+SUM(L22:L30)</f>
        <v>196638</v>
      </c>
      <c r="M31" s="15">
        <f>+SUM(M22:M30)</f>
        <v>111947</v>
      </c>
      <c r="N31" s="32">
        <f>+SUM(N22:N30)</f>
        <v>1.5269999999999999</v>
      </c>
      <c r="O31" s="32"/>
      <c r="P31" s="37"/>
      <c r="Q31" s="8"/>
      <c r="R31" s="7"/>
      <c r="S31" s="7"/>
    </row>
    <row r="32" spans="1:19" x14ac:dyDescent="0.25">
      <c r="A32" s="9"/>
      <c r="B32" s="9"/>
      <c r="C32" s="9"/>
      <c r="D32" s="26"/>
      <c r="E32" s="16"/>
      <c r="F32" s="9"/>
      <c r="G32" s="9"/>
      <c r="H32" s="16"/>
      <c r="I32" s="16" t="s">
        <v>53</v>
      </c>
      <c r="J32" s="21">
        <f>I31/H31*100</f>
        <v>42.743055555555557</v>
      </c>
      <c r="K32" s="16"/>
      <c r="L32" s="16"/>
      <c r="M32" s="16"/>
      <c r="N32" s="16" t="s">
        <v>54</v>
      </c>
      <c r="O32" s="38"/>
      <c r="P32" s="33"/>
      <c r="Q32" s="10"/>
      <c r="R32" s="9"/>
      <c r="S32" s="9"/>
    </row>
    <row r="33" spans="1:19" ht="15.75" thickBot="1" x14ac:dyDescent="0.3">
      <c r="A33" s="11"/>
      <c r="B33" s="11"/>
      <c r="C33" s="11"/>
      <c r="D33" s="27"/>
      <c r="E33" s="17"/>
      <c r="F33" s="11"/>
      <c r="G33" s="11"/>
      <c r="H33" s="17"/>
      <c r="I33" s="17" t="s">
        <v>55</v>
      </c>
      <c r="J33" s="21">
        <f>STDEV(J22:J30)</f>
        <v>25.986306812994101</v>
      </c>
      <c r="K33" s="16"/>
      <c r="L33" s="16"/>
      <c r="M33" s="16"/>
      <c r="N33" s="17" t="s">
        <v>57</v>
      </c>
      <c r="O33" s="46">
        <f>L31/N31/43560</f>
        <v>2.9562457942525815</v>
      </c>
      <c r="P33" s="34"/>
      <c r="Q33" s="12"/>
      <c r="R33" s="11"/>
      <c r="S33" s="11"/>
    </row>
    <row r="34" spans="1:19" x14ac:dyDescent="0.25">
      <c r="J34" s="47" t="s">
        <v>82</v>
      </c>
      <c r="K34" s="48"/>
      <c r="L34" s="48"/>
      <c r="M34" s="42"/>
    </row>
    <row r="35" spans="1:19" x14ac:dyDescent="0.25">
      <c r="J35" s="49" t="s">
        <v>108</v>
      </c>
      <c r="K35" s="50"/>
      <c r="L35" s="50"/>
      <c r="M35" s="51"/>
    </row>
    <row r="36" spans="1:19" ht="15.75" thickBot="1" x14ac:dyDescent="0.3">
      <c r="J36" s="52" t="s">
        <v>109</v>
      </c>
      <c r="K36" s="53"/>
      <c r="L36" s="53"/>
      <c r="M36" s="44"/>
    </row>
  </sheetData>
  <conditionalFormatting sqref="A3:S11 A22:S30">
    <cfRule type="expression" dxfId="3" priority="5" stopIfTrue="1">
      <formula>MOD(ROW(),4)&gt;1</formula>
    </cfRule>
    <cfRule type="expression" dxfId="2" priority="6" stopIfTrue="1">
      <formula>MOD(ROW(),4)&lt;2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6"/>
  <sheetViews>
    <sheetView tabSelected="1" workbookViewId="0">
      <selection activeCell="A21" sqref="A21"/>
    </sheetView>
  </sheetViews>
  <sheetFormatPr defaultRowHeight="15" x14ac:dyDescent="0.25"/>
  <cols>
    <col min="1" max="1" width="12.7109375" bestFit="1" customWidth="1"/>
    <col min="2" max="2" width="16.85546875" bestFit="1" customWidth="1"/>
    <col min="3" max="3" width="18.7109375" bestFit="1" customWidth="1"/>
    <col min="4" max="4" width="9.28515625" style="24" bestFit="1" customWidth="1"/>
    <col min="5" max="5" width="11.85546875" style="14" bestFit="1" customWidth="1"/>
    <col min="6" max="6" width="5.5703125" bestFit="1" customWidth="1"/>
    <col min="7" max="7" width="30.140625" bestFit="1" customWidth="1"/>
    <col min="8" max="9" width="17.7109375" style="14" customWidth="1"/>
    <col min="10" max="10" width="18.7109375" style="19" customWidth="1"/>
    <col min="11" max="11" width="17.7109375" style="14" customWidth="1"/>
    <col min="12" max="12" width="18.7109375" style="14" customWidth="1"/>
    <col min="13" max="13" width="20.7109375" style="14" customWidth="1"/>
    <col min="14" max="14" width="17.7109375" style="28" customWidth="1"/>
    <col min="15" max="15" width="13.5703125" style="29" bestFit="1" customWidth="1"/>
    <col min="16" max="16" width="19.28515625" style="36" bestFit="1" customWidth="1"/>
    <col min="17" max="17" width="16.7109375" style="31" customWidth="1"/>
    <col min="18" max="18" width="15.7109375" style="14" customWidth="1"/>
    <col min="19" max="19" width="17.7109375" style="14" customWidth="1"/>
    <col min="20" max="20" width="17.7109375" style="36" customWidth="1"/>
    <col min="21" max="21" width="17.7109375" style="31" customWidth="1"/>
    <col min="22" max="22" width="20.7109375" style="5" customWidth="1"/>
    <col min="23" max="23" width="20.7109375" customWidth="1"/>
    <col min="24" max="24" width="40.7109375" customWidth="1"/>
    <col min="25" max="25" width="15.7109375" customWidth="1"/>
    <col min="26" max="28" width="20.7109375" customWidth="1"/>
    <col min="29" max="29" width="13.7109375" customWidth="1"/>
    <col min="30" max="37" width="20.7109375" customWidth="1"/>
    <col min="38" max="38" width="21.7109375" customWidth="1"/>
    <col min="39" max="43" width="20.7109375" customWidth="1"/>
    <col min="44" max="44" width="21.7109375" customWidth="1"/>
    <col min="45" max="45" width="20.7109375" customWidth="1"/>
  </cols>
  <sheetData>
    <row r="1" spans="1:39" x14ac:dyDescent="0.25">
      <c r="A1" s="1" t="s">
        <v>110</v>
      </c>
    </row>
    <row r="2" spans="1:39" x14ac:dyDescent="0.25">
      <c r="A2" s="2" t="s">
        <v>58</v>
      </c>
      <c r="B2" s="2" t="s">
        <v>0</v>
      </c>
      <c r="C2" s="2" t="s">
        <v>1</v>
      </c>
      <c r="D2" s="23" t="s">
        <v>2</v>
      </c>
      <c r="E2" s="13" t="s">
        <v>3</v>
      </c>
      <c r="F2" s="2" t="s">
        <v>4</v>
      </c>
      <c r="G2" s="2" t="s">
        <v>5</v>
      </c>
      <c r="H2" s="13" t="s">
        <v>6</v>
      </c>
      <c r="I2" s="13" t="s">
        <v>7</v>
      </c>
      <c r="J2" s="18" t="s">
        <v>8</v>
      </c>
      <c r="K2" s="13" t="s">
        <v>9</v>
      </c>
      <c r="L2" s="13" t="s">
        <v>10</v>
      </c>
      <c r="M2" s="13" t="s">
        <v>11</v>
      </c>
      <c r="N2" s="30" t="s">
        <v>12</v>
      </c>
      <c r="O2" s="30" t="s">
        <v>80</v>
      </c>
      <c r="P2" s="35" t="s">
        <v>79</v>
      </c>
      <c r="Q2" s="4" t="s">
        <v>14</v>
      </c>
      <c r="R2" s="2" t="s">
        <v>15</v>
      </c>
      <c r="S2" s="2" t="s">
        <v>16</v>
      </c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 x14ac:dyDescent="0.25">
      <c r="A3" t="str">
        <f>IFERROR(INDEX('[1]MatchREF &amp; Lists'!$A$1:$B$46,MATCH(LEFT(B3,2)*1,'[1]MatchREF &amp; Lists'!$A$1:$A$46,0),2),"")</f>
        <v>DEARBORN</v>
      </c>
      <c r="B3" t="s">
        <v>60</v>
      </c>
      <c r="C3" t="s">
        <v>61</v>
      </c>
      <c r="D3" s="24">
        <v>44684</v>
      </c>
      <c r="E3" s="14">
        <v>320000</v>
      </c>
      <c r="F3" t="s">
        <v>30</v>
      </c>
      <c r="G3" t="s">
        <v>20</v>
      </c>
      <c r="H3" s="14">
        <v>320000</v>
      </c>
      <c r="I3" s="14">
        <v>171500</v>
      </c>
      <c r="J3" s="19">
        <f>I3/H3</f>
        <v>0.53593749999999996</v>
      </c>
      <c r="K3" s="14">
        <v>312315</v>
      </c>
      <c r="L3" s="14">
        <v>28374</v>
      </c>
      <c r="M3" s="14">
        <v>20689</v>
      </c>
      <c r="N3" s="31">
        <v>0.38</v>
      </c>
      <c r="O3" s="31">
        <f>N3*43560</f>
        <v>16552.8</v>
      </c>
      <c r="P3" s="36">
        <f>L3/O3</f>
        <v>1.7141510801797883</v>
      </c>
      <c r="Q3" s="6"/>
      <c r="R3" t="s">
        <v>62</v>
      </c>
      <c r="S3" t="s">
        <v>81</v>
      </c>
      <c r="T3"/>
      <c r="U3"/>
      <c r="V3"/>
    </row>
    <row r="4" spans="1:39" x14ac:dyDescent="0.25">
      <c r="A4" t="str">
        <f>IFERROR(INDEX('[1]MatchREF &amp; Lists'!$A$1:$B$46,MATCH(LEFT(B4,2)*1,'[1]MatchREF &amp; Lists'!$A$1:$A$46,0),2),"")</f>
        <v>DEARBORN HEIGHTS</v>
      </c>
      <c r="B4" t="s">
        <v>63</v>
      </c>
      <c r="C4" t="s">
        <v>64</v>
      </c>
      <c r="D4" s="24">
        <v>44866</v>
      </c>
      <c r="E4" s="14">
        <v>300000</v>
      </c>
      <c r="F4" t="s">
        <v>30</v>
      </c>
      <c r="G4" t="s">
        <v>20</v>
      </c>
      <c r="H4" s="14">
        <v>300000</v>
      </c>
      <c r="I4" s="14">
        <v>140700</v>
      </c>
      <c r="J4" s="19">
        <f>I4/H4</f>
        <v>0.46899999999999997</v>
      </c>
      <c r="K4" s="14">
        <v>329583</v>
      </c>
      <c r="L4" s="14">
        <v>124240</v>
      </c>
      <c r="M4" s="14">
        <v>153823</v>
      </c>
      <c r="N4" s="31">
        <v>1.581</v>
      </c>
      <c r="O4" s="31">
        <f>N4*43560</f>
        <v>68868.36</v>
      </c>
      <c r="P4" s="36">
        <f>L4/O4</f>
        <v>1.8040214693656129</v>
      </c>
      <c r="Q4" s="6"/>
      <c r="R4" t="s">
        <v>65</v>
      </c>
      <c r="S4" t="s">
        <v>81</v>
      </c>
      <c r="T4"/>
      <c r="U4"/>
      <c r="V4"/>
    </row>
    <row r="5" spans="1:39" x14ac:dyDescent="0.25">
      <c r="A5" t="str">
        <f>IFERROR(INDEX('[1]MatchREF &amp; Lists'!$A$1:$B$46,MATCH(LEFT(B5,2)*1,'[1]MatchREF &amp; Lists'!$A$1:$A$46,0),2),"")</f>
        <v>DEARBORN HEIGHTS</v>
      </c>
      <c r="B5" t="s">
        <v>66</v>
      </c>
      <c r="C5" t="s">
        <v>67</v>
      </c>
      <c r="D5" s="24">
        <v>44778</v>
      </c>
      <c r="E5" s="14">
        <v>569900</v>
      </c>
      <c r="F5" t="s">
        <v>30</v>
      </c>
      <c r="G5" t="s">
        <v>20</v>
      </c>
      <c r="H5" s="14">
        <v>569900</v>
      </c>
      <c r="I5" s="14">
        <v>145100</v>
      </c>
      <c r="J5" s="19">
        <f>I5/H5</f>
        <v>0.2546060712405685</v>
      </c>
      <c r="K5" s="14">
        <v>292504</v>
      </c>
      <c r="L5" s="14">
        <v>371716</v>
      </c>
      <c r="M5" s="14">
        <v>94320</v>
      </c>
      <c r="N5" s="31">
        <v>1.083</v>
      </c>
      <c r="O5" s="31">
        <f>N5*43560</f>
        <v>47175.479999999996</v>
      </c>
      <c r="P5" s="36">
        <f>L5/O5</f>
        <v>7.8794322813461575</v>
      </c>
      <c r="Q5" s="6"/>
      <c r="R5" t="s">
        <v>68</v>
      </c>
      <c r="S5" t="s">
        <v>81</v>
      </c>
      <c r="T5"/>
      <c r="U5"/>
      <c r="V5"/>
    </row>
    <row r="6" spans="1:39" x14ac:dyDescent="0.25">
      <c r="A6" t="str">
        <f>IFERROR(INDEX('[1]MatchREF &amp; Lists'!$A$1:$B$46,MATCH(LEFT(B6,2)*1,'[1]MatchREF &amp; Lists'!$A$1:$A$46,0),2),"")</f>
        <v>REDFORD</v>
      </c>
      <c r="B6" t="s">
        <v>71</v>
      </c>
      <c r="C6" t="s">
        <v>72</v>
      </c>
      <c r="D6" s="24">
        <v>44852</v>
      </c>
      <c r="E6" s="14">
        <v>80000</v>
      </c>
      <c r="F6" t="s">
        <v>30</v>
      </c>
      <c r="G6" t="s">
        <v>24</v>
      </c>
      <c r="H6" s="14">
        <v>80000</v>
      </c>
      <c r="I6" s="14">
        <v>49000</v>
      </c>
      <c r="J6" s="19">
        <f>I6/H6</f>
        <v>0.61250000000000004</v>
      </c>
      <c r="K6" s="14">
        <v>138354</v>
      </c>
      <c r="L6" s="14">
        <v>-49054</v>
      </c>
      <c r="M6" s="14">
        <v>9300</v>
      </c>
      <c r="N6" s="31">
        <v>8.5000000000000006E-2</v>
      </c>
      <c r="O6" s="31">
        <f>N6*43560</f>
        <v>3702.6000000000004</v>
      </c>
      <c r="P6" s="36">
        <f>L6/O6</f>
        <v>-13.248528061362284</v>
      </c>
      <c r="Q6" s="6"/>
      <c r="R6"/>
      <c r="S6" t="s">
        <v>81</v>
      </c>
      <c r="T6"/>
      <c r="U6"/>
      <c r="V6"/>
    </row>
    <row r="7" spans="1:39" x14ac:dyDescent="0.25">
      <c r="A7" t="str">
        <f>IFERROR(INDEX('[1]MatchREF &amp; Lists'!$A$1:$B$46,MATCH(LEFT(B7,2)*1,'[1]MatchREF &amp; Lists'!$A$1:$A$46,0),2),"")</f>
        <v>REDFORD</v>
      </c>
      <c r="B7" t="s">
        <v>75</v>
      </c>
      <c r="C7" t="s">
        <v>76</v>
      </c>
      <c r="D7" s="24">
        <v>44707</v>
      </c>
      <c r="E7" s="14">
        <v>258500</v>
      </c>
      <c r="F7" t="s">
        <v>30</v>
      </c>
      <c r="G7" t="s">
        <v>24</v>
      </c>
      <c r="H7" s="14">
        <v>258500</v>
      </c>
      <c r="I7" s="14">
        <v>144500</v>
      </c>
      <c r="J7" s="19">
        <f>I7/H7</f>
        <v>0.55899419729206967</v>
      </c>
      <c r="K7" s="14">
        <v>319069</v>
      </c>
      <c r="L7" s="14">
        <v>7995</v>
      </c>
      <c r="M7" s="14">
        <v>68564</v>
      </c>
      <c r="N7" s="31">
        <v>0.78700000000000003</v>
      </c>
      <c r="O7" s="31">
        <f>N7*43560</f>
        <v>34281.72</v>
      </c>
      <c r="P7" s="36">
        <f>L7/O7</f>
        <v>0.2332146695089978</v>
      </c>
      <c r="Q7" s="6"/>
      <c r="R7"/>
      <c r="S7" t="s">
        <v>81</v>
      </c>
      <c r="T7"/>
      <c r="U7"/>
      <c r="V7"/>
    </row>
    <row r="8" spans="1:39" x14ac:dyDescent="0.25">
      <c r="A8" t="str">
        <f>IFERROR(INDEX('[1]MatchREF &amp; Lists'!$A$1:$B$46,MATCH(LEFT(B8,2)*1,'[1]MatchREF &amp; Lists'!$A$1:$A$46,0),2),"")</f>
        <v>REDFORD</v>
      </c>
      <c r="B8" t="s">
        <v>73</v>
      </c>
      <c r="C8" t="s">
        <v>74</v>
      </c>
      <c r="D8" s="24">
        <v>44910</v>
      </c>
      <c r="E8" s="14">
        <v>30000</v>
      </c>
      <c r="F8" t="s">
        <v>30</v>
      </c>
      <c r="G8" t="s">
        <v>24</v>
      </c>
      <c r="H8" s="14">
        <v>30000</v>
      </c>
      <c r="I8" s="14">
        <v>14600</v>
      </c>
      <c r="J8" s="19">
        <f>I8/H8</f>
        <v>0.48666666666666669</v>
      </c>
      <c r="K8" s="14">
        <v>30690</v>
      </c>
      <c r="L8" s="14">
        <v>3460</v>
      </c>
      <c r="M8" s="14">
        <v>4150</v>
      </c>
      <c r="N8" s="31">
        <v>3.7999999999999999E-2</v>
      </c>
      <c r="O8" s="31">
        <f>N8*43560</f>
        <v>1655.28</v>
      </c>
      <c r="P8" s="36">
        <f>L8/O8</f>
        <v>2.0902807984147698</v>
      </c>
      <c r="Q8" s="6"/>
      <c r="R8"/>
      <c r="S8" t="s">
        <v>81</v>
      </c>
      <c r="T8"/>
      <c r="U8"/>
      <c r="V8"/>
    </row>
    <row r="9" spans="1:39" x14ac:dyDescent="0.25">
      <c r="A9" t="str">
        <f>IFERROR(INDEX('[1]MatchREF &amp; Lists'!$A$1:$B$46,MATCH(LEFT(B9,2)*1,'[1]MatchREF &amp; Lists'!$A$1:$A$46,0),2),"")</f>
        <v>REDFORD</v>
      </c>
      <c r="B9" t="s">
        <v>77</v>
      </c>
      <c r="C9" t="s">
        <v>78</v>
      </c>
      <c r="D9" s="24">
        <v>44833</v>
      </c>
      <c r="E9" s="14">
        <v>175000</v>
      </c>
      <c r="F9" t="s">
        <v>30</v>
      </c>
      <c r="G9" t="s">
        <v>24</v>
      </c>
      <c r="H9" s="14">
        <v>175000</v>
      </c>
      <c r="I9" s="14">
        <v>65200</v>
      </c>
      <c r="J9" s="19">
        <f>I9/H9</f>
        <v>0.37257142857142855</v>
      </c>
      <c r="K9" s="14">
        <v>101854</v>
      </c>
      <c r="L9" s="14">
        <v>101666</v>
      </c>
      <c r="M9" s="14">
        <v>28520</v>
      </c>
      <c r="N9" s="31">
        <v>0.436</v>
      </c>
      <c r="O9" s="31">
        <f>N9*43560</f>
        <v>18992.16</v>
      </c>
      <c r="P9" s="36">
        <f>L9/O9</f>
        <v>5.3530509431260054</v>
      </c>
      <c r="Q9" s="6"/>
      <c r="R9"/>
      <c r="S9" t="s">
        <v>81</v>
      </c>
      <c r="T9"/>
      <c r="U9"/>
      <c r="V9"/>
    </row>
    <row r="10" spans="1:39" ht="15.75" thickBot="1" x14ac:dyDescent="0.3">
      <c r="A10" t="s">
        <v>59</v>
      </c>
      <c r="B10" t="s">
        <v>35</v>
      </c>
      <c r="C10" t="s">
        <v>36</v>
      </c>
      <c r="D10" s="24">
        <v>45379</v>
      </c>
      <c r="E10" s="14">
        <v>200000</v>
      </c>
      <c r="F10" t="s">
        <v>19</v>
      </c>
      <c r="G10" t="s">
        <v>24</v>
      </c>
      <c r="H10" s="14">
        <v>200000</v>
      </c>
      <c r="I10" s="14">
        <v>40000</v>
      </c>
      <c r="J10" s="19">
        <f>I10/H10*100</f>
        <v>20</v>
      </c>
      <c r="K10" s="14">
        <v>85866</v>
      </c>
      <c r="L10" s="14">
        <f>H10-48840</f>
        <v>151160</v>
      </c>
      <c r="M10" s="14">
        <v>37026</v>
      </c>
      <c r="N10" s="31">
        <v>1.25</v>
      </c>
      <c r="O10" s="31">
        <f>N10*43560</f>
        <v>54450</v>
      </c>
      <c r="P10" s="36">
        <f>L10/O10</f>
        <v>2.7761248852157943</v>
      </c>
      <c r="Q10" s="6" t="s">
        <v>37</v>
      </c>
      <c r="R10"/>
      <c r="S10" t="s">
        <v>38</v>
      </c>
      <c r="T10"/>
      <c r="U10"/>
      <c r="V10"/>
    </row>
    <row r="11" spans="1:39" ht="15.75" thickBot="1" x14ac:dyDescent="0.3">
      <c r="A11" t="str">
        <f>IFERROR(INDEX('[1]MatchREF &amp; Lists'!$A$1:$B$46,MATCH(LEFT(B11,2)*1,'[1]MatchREF &amp; Lists'!$A$1:$A$46,0),2),"")</f>
        <v>WYANDOTTE</v>
      </c>
      <c r="B11" t="s">
        <v>69</v>
      </c>
      <c r="C11" t="s">
        <v>70</v>
      </c>
      <c r="D11" s="24">
        <v>44862</v>
      </c>
      <c r="E11" s="14">
        <v>260000</v>
      </c>
      <c r="F11" t="s">
        <v>30</v>
      </c>
      <c r="G11" t="s">
        <v>24</v>
      </c>
      <c r="H11" s="14">
        <v>260000</v>
      </c>
      <c r="I11" s="14">
        <v>125900</v>
      </c>
      <c r="J11" s="19">
        <f>I11/H11</f>
        <v>0.48423076923076924</v>
      </c>
      <c r="K11" s="14">
        <v>334141</v>
      </c>
      <c r="L11" s="14">
        <v>-37550</v>
      </c>
      <c r="M11" s="14">
        <v>36591</v>
      </c>
      <c r="N11" s="31">
        <v>0.56000000000000005</v>
      </c>
      <c r="O11" s="31">
        <f>N11*43560</f>
        <v>24393.600000000002</v>
      </c>
      <c r="P11" s="36">
        <f>L11/O11</f>
        <v>-1.5393381870654597</v>
      </c>
      <c r="Q11" s="6"/>
      <c r="R11"/>
      <c r="S11" t="s">
        <v>81</v>
      </c>
      <c r="T11"/>
      <c r="U11"/>
      <c r="V11"/>
    </row>
    <row r="12" spans="1:39" ht="15.75" thickTop="1" x14ac:dyDescent="0.25">
      <c r="A12" s="7"/>
      <c r="B12" s="7"/>
      <c r="C12" s="7"/>
      <c r="D12" s="25" t="s">
        <v>52</v>
      </c>
      <c r="E12" s="15">
        <f>SUM(E3:E11)</f>
        <v>2193400</v>
      </c>
      <c r="F12" s="7"/>
      <c r="G12" s="7"/>
      <c r="H12" s="15">
        <f>+SUM(H3:H11)</f>
        <v>2193400</v>
      </c>
      <c r="I12" s="15">
        <f>+SUM(I3:I11)</f>
        <v>896500</v>
      </c>
      <c r="J12" s="20"/>
      <c r="K12" s="15">
        <f>+SUM(K3:K11)</f>
        <v>1944376</v>
      </c>
      <c r="L12" s="15">
        <f>SUM(L3:L11)</f>
        <v>702007</v>
      </c>
      <c r="M12" s="15">
        <f>SUM(M3:M11)</f>
        <v>452983</v>
      </c>
      <c r="N12" s="32">
        <f>SUM(N3:N11)</f>
        <v>6.1999999999999993</v>
      </c>
      <c r="O12" s="32">
        <f>SUM(O3:O11)</f>
        <v>270072</v>
      </c>
      <c r="P12" s="40">
        <f>AVERAGE(P3:P11)</f>
        <v>0.78471220874770919</v>
      </c>
      <c r="Q12" s="8"/>
      <c r="R12" s="7"/>
      <c r="S12" s="7"/>
      <c r="T12"/>
      <c r="U12"/>
      <c r="V12"/>
    </row>
    <row r="13" spans="1:39" x14ac:dyDescent="0.25">
      <c r="A13" s="9"/>
      <c r="B13" s="9"/>
      <c r="C13" s="9"/>
      <c r="D13" s="26"/>
      <c r="E13" s="16"/>
      <c r="F13" s="9"/>
      <c r="G13" s="9"/>
      <c r="H13" s="16"/>
      <c r="I13" s="16" t="s">
        <v>53</v>
      </c>
      <c r="J13" s="21">
        <f>I12/H12*100</f>
        <v>40.872617853560683</v>
      </c>
      <c r="K13" s="16"/>
      <c r="L13" s="16"/>
      <c r="M13" s="16"/>
      <c r="N13" s="33" t="s">
        <v>54</v>
      </c>
      <c r="O13" s="33"/>
      <c r="P13" s="38"/>
      <c r="Q13" s="10"/>
      <c r="R13" s="9"/>
      <c r="S13" s="9"/>
      <c r="T13"/>
      <c r="U13"/>
      <c r="V13"/>
    </row>
    <row r="14" spans="1:39" ht="15.75" thickBot="1" x14ac:dyDescent="0.3">
      <c r="A14" s="11"/>
      <c r="B14" s="11"/>
      <c r="C14" s="11"/>
      <c r="D14" s="27"/>
      <c r="E14" s="17"/>
      <c r="F14" s="11"/>
      <c r="G14" s="11"/>
      <c r="H14" s="17"/>
      <c r="I14" s="17" t="s">
        <v>55</v>
      </c>
      <c r="J14" s="22">
        <f>STDEV(J3:J11)</f>
        <v>6.5102492268440662</v>
      </c>
      <c r="K14" s="16"/>
      <c r="L14" s="16"/>
      <c r="M14" s="17"/>
      <c r="N14" s="34" t="s">
        <v>56</v>
      </c>
      <c r="O14" s="34">
        <f>L12/N12</f>
        <v>113226.93548387098</v>
      </c>
      <c r="P14" s="39"/>
      <c r="Q14" s="12"/>
      <c r="R14" s="11"/>
      <c r="S14" s="11"/>
      <c r="T14"/>
      <c r="U14"/>
      <c r="V14"/>
    </row>
    <row r="15" spans="1:39" x14ac:dyDescent="0.25">
      <c r="K15" s="41" t="s">
        <v>82</v>
      </c>
      <c r="L15" s="42"/>
    </row>
    <row r="16" spans="1:39" ht="15.75" thickBot="1" x14ac:dyDescent="0.3">
      <c r="K16" s="43" t="s">
        <v>83</v>
      </c>
      <c r="L16" s="44"/>
    </row>
  </sheetData>
  <sortState ref="A1:S14">
    <sortCondition ref="A1:A14"/>
  </sortState>
  <conditionalFormatting sqref="A3:S11">
    <cfRule type="expression" dxfId="1" priority="5" stopIfTrue="1">
      <formula>MOD(ROW(),4)&gt;1</formula>
    </cfRule>
    <cfRule type="expression" dxfId="0" priority="6" stopIfTrue="1">
      <formula>MOD(ROW(),4)&lt;2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Commercial</vt:lpstr>
      <vt:lpstr>Industrial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Powers</dc:creator>
  <cp:lastModifiedBy>Aaron Powers</cp:lastModifiedBy>
  <dcterms:created xsi:type="dcterms:W3CDTF">2025-01-15T15:34:01Z</dcterms:created>
  <dcterms:modified xsi:type="dcterms:W3CDTF">2025-01-15T16:19:43Z</dcterms:modified>
</cp:coreProperties>
</file>