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wers\Desktop\ECF\Land\2025\Res\"/>
    </mc:Choice>
  </mc:AlternateContent>
  <bookViews>
    <workbookView xWindow="0" yWindow="0" windowWidth="24135" windowHeight="11310"/>
  </bookViews>
  <sheets>
    <sheet name="Land Table Breakdown Analysis" sheetId="1" r:id="rId1"/>
    <sheet name="Vacant Land Sal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L5" i="1"/>
  <c r="R5" i="1" s="1"/>
  <c r="Q114" i="1"/>
  <c r="P114" i="1"/>
  <c r="N114" i="1"/>
  <c r="M114" i="1"/>
  <c r="K114" i="1"/>
  <c r="I114" i="1"/>
  <c r="H114" i="1"/>
  <c r="E114" i="1"/>
  <c r="L113" i="1"/>
  <c r="R113" i="1" s="1"/>
  <c r="J113" i="1"/>
  <c r="L112" i="1"/>
  <c r="S112" i="1" s="1"/>
  <c r="J112" i="1"/>
  <c r="L111" i="1"/>
  <c r="S111" i="1" s="1"/>
  <c r="J111" i="1"/>
  <c r="Q99" i="1"/>
  <c r="P99" i="1"/>
  <c r="N99" i="1"/>
  <c r="M99" i="1"/>
  <c r="K99" i="1"/>
  <c r="I99" i="1"/>
  <c r="H99" i="1"/>
  <c r="E99" i="1"/>
  <c r="L98" i="1"/>
  <c r="T98" i="1" s="1"/>
  <c r="J98" i="1"/>
  <c r="L97" i="1"/>
  <c r="S97" i="1" s="1"/>
  <c r="J97" i="1"/>
  <c r="L96" i="1"/>
  <c r="T96" i="1" s="1"/>
  <c r="J96" i="1"/>
  <c r="P5" i="3"/>
  <c r="O5" i="3"/>
  <c r="M5" i="3"/>
  <c r="L5" i="3"/>
  <c r="J5" i="3"/>
  <c r="H5" i="3"/>
  <c r="G5" i="3"/>
  <c r="D5" i="3"/>
  <c r="K4" i="3"/>
  <c r="Q4" i="3" s="1"/>
  <c r="I4" i="3"/>
  <c r="K3" i="3"/>
  <c r="R3" i="3" s="1"/>
  <c r="I3" i="3"/>
  <c r="K2" i="3"/>
  <c r="Q2" i="3" s="1"/>
  <c r="I2" i="3"/>
  <c r="Q87" i="1"/>
  <c r="P87" i="1"/>
  <c r="N87" i="1"/>
  <c r="M87" i="1"/>
  <c r="K87" i="1"/>
  <c r="I87" i="1"/>
  <c r="H87" i="1"/>
  <c r="E87" i="1"/>
  <c r="L24" i="1"/>
  <c r="T24" i="1" s="1"/>
  <c r="J24" i="1"/>
  <c r="L23" i="1"/>
  <c r="T23" i="1" s="1"/>
  <c r="J23" i="1"/>
  <c r="L84" i="1"/>
  <c r="S84" i="1" s="1"/>
  <c r="J84" i="1"/>
  <c r="L53" i="1"/>
  <c r="R53" i="1" s="1"/>
  <c r="J53" i="1"/>
  <c r="L63" i="1"/>
  <c r="T63" i="1" s="1"/>
  <c r="J63" i="1"/>
  <c r="L12" i="1"/>
  <c r="T12" i="1" s="1"/>
  <c r="J12" i="1"/>
  <c r="L13" i="1"/>
  <c r="T13" i="1" s="1"/>
  <c r="J13" i="1"/>
  <c r="L21" i="1"/>
  <c r="S21" i="1" s="1"/>
  <c r="J21" i="1"/>
  <c r="L69" i="1"/>
  <c r="R69" i="1" s="1"/>
  <c r="J69" i="1"/>
  <c r="L39" i="1"/>
  <c r="S39" i="1" s="1"/>
  <c r="J39" i="1"/>
  <c r="L61" i="1"/>
  <c r="T61" i="1" s="1"/>
  <c r="J61" i="1"/>
  <c r="L78" i="1"/>
  <c r="S78" i="1" s="1"/>
  <c r="J78" i="1"/>
  <c r="L80" i="1"/>
  <c r="S80" i="1" s="1"/>
  <c r="J80" i="1"/>
  <c r="L38" i="1"/>
  <c r="T38" i="1" s="1"/>
  <c r="J38" i="1"/>
  <c r="L11" i="1"/>
  <c r="T11" i="1" s="1"/>
  <c r="J11" i="1"/>
  <c r="L50" i="1"/>
  <c r="T50" i="1" s="1"/>
  <c r="J50" i="1"/>
  <c r="L36" i="1"/>
  <c r="S36" i="1" s="1"/>
  <c r="J36" i="1"/>
  <c r="L82" i="1"/>
  <c r="S82" i="1" s="1"/>
  <c r="J82" i="1"/>
  <c r="L58" i="1"/>
  <c r="T58" i="1" s="1"/>
  <c r="J58" i="1"/>
  <c r="L45" i="1"/>
  <c r="T45" i="1" s="1"/>
  <c r="J45" i="1"/>
  <c r="L43" i="1"/>
  <c r="T43" i="1" s="1"/>
  <c r="J43" i="1"/>
  <c r="L76" i="1"/>
  <c r="S76" i="1" s="1"/>
  <c r="J76" i="1"/>
  <c r="L74" i="1"/>
  <c r="T74" i="1" s="1"/>
  <c r="J74" i="1"/>
  <c r="L14" i="1"/>
  <c r="S14" i="1" s="1"/>
  <c r="J14" i="1"/>
  <c r="L18" i="1"/>
  <c r="S18" i="1" s="1"/>
  <c r="J18" i="1"/>
  <c r="L32" i="1"/>
  <c r="T32" i="1" s="1"/>
  <c r="J32" i="1"/>
  <c r="L26" i="1"/>
  <c r="S26" i="1" s="1"/>
  <c r="J26" i="1"/>
  <c r="L60" i="1"/>
  <c r="S60" i="1" s="1"/>
  <c r="J60" i="1"/>
  <c r="L79" i="1"/>
  <c r="T79" i="1" s="1"/>
  <c r="J79" i="1"/>
  <c r="L10" i="1"/>
  <c r="S10" i="1" s="1"/>
  <c r="J10" i="1"/>
  <c r="L72" i="1"/>
  <c r="T72" i="1" s="1"/>
  <c r="J72" i="1"/>
  <c r="L16" i="1"/>
  <c r="S16" i="1" s="1"/>
  <c r="J16" i="1"/>
  <c r="L83" i="1"/>
  <c r="R83" i="1" s="1"/>
  <c r="J83" i="1"/>
  <c r="L57" i="1"/>
  <c r="S57" i="1" s="1"/>
  <c r="J57" i="1"/>
  <c r="L28" i="1"/>
  <c r="T28" i="1" s="1"/>
  <c r="J28" i="1"/>
  <c r="L81" i="1"/>
  <c r="T81" i="1" s="1"/>
  <c r="J81" i="1"/>
  <c r="L44" i="1"/>
  <c r="R44" i="1" s="1"/>
  <c r="J44" i="1"/>
  <c r="L77" i="1"/>
  <c r="S77" i="1" s="1"/>
  <c r="J77" i="1"/>
  <c r="L42" i="1"/>
  <c r="T42" i="1" s="1"/>
  <c r="J42" i="1"/>
  <c r="L85" i="1"/>
  <c r="S85" i="1" s="1"/>
  <c r="J85" i="1"/>
  <c r="L86" i="1"/>
  <c r="T86" i="1" s="1"/>
  <c r="J86" i="1"/>
  <c r="L54" i="1"/>
  <c r="S54" i="1" s="1"/>
  <c r="J54" i="1"/>
  <c r="L34" i="1"/>
  <c r="T34" i="1" s="1"/>
  <c r="J34" i="1"/>
  <c r="L66" i="1"/>
  <c r="S66" i="1" s="1"/>
  <c r="J66" i="1"/>
  <c r="L41" i="1"/>
  <c r="T41" i="1" s="1"/>
  <c r="J41" i="1"/>
  <c r="L52" i="1"/>
  <c r="S52" i="1" s="1"/>
  <c r="J52" i="1"/>
  <c r="L8" i="1"/>
  <c r="S8" i="1" s="1"/>
  <c r="J8" i="1"/>
  <c r="L47" i="1"/>
  <c r="T47" i="1" s="1"/>
  <c r="J47" i="1"/>
  <c r="L67" i="1"/>
  <c r="S67" i="1" s="1"/>
  <c r="J67" i="1"/>
  <c r="L59" i="1"/>
  <c r="S59" i="1" s="1"/>
  <c r="J59" i="1"/>
  <c r="L75" i="1"/>
  <c r="T75" i="1" s="1"/>
  <c r="J75" i="1"/>
  <c r="L19" i="1"/>
  <c r="T19" i="1" s="1"/>
  <c r="J19" i="1"/>
  <c r="L68" i="1"/>
  <c r="T68" i="1" s="1"/>
  <c r="J68" i="1"/>
  <c r="L40" i="1"/>
  <c r="S40" i="1" s="1"/>
  <c r="J40" i="1"/>
  <c r="L64" i="1"/>
  <c r="R64" i="1" s="1"/>
  <c r="J64" i="1"/>
  <c r="L6" i="1"/>
  <c r="T6" i="1" s="1"/>
  <c r="J6" i="1"/>
  <c r="L31" i="1"/>
  <c r="T31" i="1" s="1"/>
  <c r="J31" i="1"/>
  <c r="L37" i="1"/>
  <c r="T37" i="1" s="1"/>
  <c r="J37" i="1"/>
  <c r="L27" i="1"/>
  <c r="S27" i="1" s="1"/>
  <c r="J27" i="1"/>
  <c r="L48" i="1"/>
  <c r="R48" i="1" s="1"/>
  <c r="J48" i="1"/>
  <c r="L56" i="1"/>
  <c r="S56" i="1" s="1"/>
  <c r="J56" i="1"/>
  <c r="L7" i="1"/>
  <c r="S7" i="1" s="1"/>
  <c r="J7" i="1"/>
  <c r="L35" i="1"/>
  <c r="R35" i="1" s="1"/>
  <c r="J35" i="1"/>
  <c r="L51" i="1"/>
  <c r="S51" i="1" s="1"/>
  <c r="J51" i="1"/>
  <c r="L22" i="1"/>
  <c r="S22" i="1" s="1"/>
  <c r="J22" i="1"/>
  <c r="L9" i="1"/>
  <c r="T9" i="1" s="1"/>
  <c r="J9" i="1"/>
  <c r="L65" i="1"/>
  <c r="S65" i="1" s="1"/>
  <c r="J65" i="1"/>
  <c r="L55" i="1"/>
  <c r="T55" i="1" s="1"/>
  <c r="J55" i="1"/>
  <c r="L33" i="1"/>
  <c r="T33" i="1" s="1"/>
  <c r="J33" i="1"/>
  <c r="L46" i="1"/>
  <c r="S46" i="1" s="1"/>
  <c r="J46" i="1"/>
  <c r="L25" i="1"/>
  <c r="R25" i="1" s="1"/>
  <c r="J25" i="1"/>
  <c r="L29" i="1"/>
  <c r="T29" i="1" s="1"/>
  <c r="J29" i="1"/>
  <c r="L30" i="1"/>
  <c r="T30" i="1" s="1"/>
  <c r="J30" i="1"/>
  <c r="L17" i="1"/>
  <c r="S17" i="1" s="1"/>
  <c r="J17" i="1"/>
  <c r="L49" i="1"/>
  <c r="R49" i="1" s="1"/>
  <c r="J49" i="1"/>
  <c r="L15" i="1"/>
  <c r="S15" i="1" s="1"/>
  <c r="J15" i="1"/>
  <c r="L73" i="1"/>
  <c r="T73" i="1" s="1"/>
  <c r="J73" i="1"/>
  <c r="L20" i="1"/>
  <c r="T20" i="1" s="1"/>
  <c r="J20" i="1"/>
  <c r="L62" i="1"/>
  <c r="S62" i="1" s="1"/>
  <c r="J62" i="1"/>
  <c r="L70" i="1"/>
  <c r="R70" i="1" s="1"/>
  <c r="J70" i="1"/>
  <c r="L71" i="1"/>
  <c r="T71" i="1" s="1"/>
  <c r="J71" i="1"/>
  <c r="T5" i="1" l="1"/>
  <c r="S5" i="1"/>
  <c r="R85" i="1"/>
  <c r="T17" i="1"/>
  <c r="J115" i="1"/>
  <c r="T85" i="1"/>
  <c r="T22" i="1"/>
  <c r="T78" i="1"/>
  <c r="T112" i="1"/>
  <c r="R98" i="1"/>
  <c r="S74" i="1"/>
  <c r="S96" i="1"/>
  <c r="T27" i="1"/>
  <c r="R51" i="1"/>
  <c r="R19" i="1"/>
  <c r="T10" i="1"/>
  <c r="R24" i="1"/>
  <c r="S19" i="1"/>
  <c r="R59" i="1"/>
  <c r="R78" i="1"/>
  <c r="S24" i="1"/>
  <c r="T97" i="1"/>
  <c r="S113" i="1"/>
  <c r="S83" i="1"/>
  <c r="R45" i="1"/>
  <c r="T21" i="1"/>
  <c r="S53" i="1"/>
  <c r="R34" i="1"/>
  <c r="T60" i="1"/>
  <c r="R111" i="1"/>
  <c r="T18" i="1"/>
  <c r="T62" i="1"/>
  <c r="S25" i="1"/>
  <c r="S64" i="1"/>
  <c r="S86" i="1"/>
  <c r="S45" i="1"/>
  <c r="J100" i="1"/>
  <c r="R55" i="1"/>
  <c r="R56" i="1"/>
  <c r="T66" i="1"/>
  <c r="J101" i="1"/>
  <c r="S49" i="1"/>
  <c r="S55" i="1"/>
  <c r="T56" i="1"/>
  <c r="R18" i="1"/>
  <c r="L99" i="1"/>
  <c r="T101" i="1" s="1"/>
  <c r="R97" i="1"/>
  <c r="S98" i="1"/>
  <c r="R112" i="1"/>
  <c r="T113" i="1"/>
  <c r="S70" i="1"/>
  <c r="S73" i="1"/>
  <c r="J116" i="1"/>
  <c r="L114" i="1"/>
  <c r="T111" i="1"/>
  <c r="R96" i="1"/>
  <c r="J89" i="1"/>
  <c r="R15" i="1"/>
  <c r="R30" i="1"/>
  <c r="R9" i="1"/>
  <c r="T51" i="1"/>
  <c r="T7" i="1"/>
  <c r="R31" i="1"/>
  <c r="T54" i="1"/>
  <c r="S44" i="1"/>
  <c r="T26" i="1"/>
  <c r="R14" i="1"/>
  <c r="T80" i="1"/>
  <c r="R39" i="1"/>
  <c r="R12" i="1"/>
  <c r="T15" i="1"/>
  <c r="S30" i="1"/>
  <c r="S9" i="1"/>
  <c r="S31" i="1"/>
  <c r="T14" i="1"/>
  <c r="T39" i="1"/>
  <c r="S12" i="1"/>
  <c r="T46" i="1"/>
  <c r="R65" i="1"/>
  <c r="T40" i="1"/>
  <c r="R77" i="1"/>
  <c r="R28" i="1"/>
  <c r="T76" i="1"/>
  <c r="R82" i="1"/>
  <c r="R38" i="1"/>
  <c r="T84" i="1"/>
  <c r="T65" i="1"/>
  <c r="S35" i="1"/>
  <c r="T59" i="1"/>
  <c r="T67" i="1"/>
  <c r="R8" i="1"/>
  <c r="R66" i="1"/>
  <c r="S34" i="1"/>
  <c r="T77" i="1"/>
  <c r="S28" i="1"/>
  <c r="R57" i="1"/>
  <c r="R10" i="1"/>
  <c r="T82" i="1"/>
  <c r="S38" i="1"/>
  <c r="J88" i="1"/>
  <c r="S48" i="1"/>
  <c r="T8" i="1"/>
  <c r="T52" i="1"/>
  <c r="R86" i="1"/>
  <c r="T57" i="1"/>
  <c r="T16" i="1"/>
  <c r="R60" i="1"/>
  <c r="R74" i="1"/>
  <c r="T36" i="1"/>
  <c r="S69" i="1"/>
  <c r="I6" i="3"/>
  <c r="S2" i="3"/>
  <c r="S3" i="3"/>
  <c r="S4" i="3"/>
  <c r="I7" i="3"/>
  <c r="R2" i="3"/>
  <c r="R4" i="3"/>
  <c r="Q3" i="3"/>
  <c r="K5" i="3"/>
  <c r="R71" i="1"/>
  <c r="T70" i="1"/>
  <c r="R73" i="1"/>
  <c r="T49" i="1"/>
  <c r="R29" i="1"/>
  <c r="T25" i="1"/>
  <c r="T35" i="1"/>
  <c r="T48" i="1"/>
  <c r="R6" i="1"/>
  <c r="T64" i="1"/>
  <c r="R75" i="1"/>
  <c r="R47" i="1"/>
  <c r="R42" i="1"/>
  <c r="T44" i="1"/>
  <c r="T83" i="1"/>
  <c r="R79" i="1"/>
  <c r="R58" i="1"/>
  <c r="R11" i="1"/>
  <c r="R61" i="1"/>
  <c r="T69" i="1"/>
  <c r="R63" i="1"/>
  <c r="T53" i="1"/>
  <c r="S71" i="1"/>
  <c r="S29" i="1"/>
  <c r="S6" i="1"/>
  <c r="S75" i="1"/>
  <c r="S47" i="1"/>
  <c r="S42" i="1"/>
  <c r="S79" i="1"/>
  <c r="S58" i="1"/>
  <c r="S11" i="1"/>
  <c r="S61" i="1"/>
  <c r="S63" i="1"/>
  <c r="L87" i="1"/>
  <c r="R20" i="1"/>
  <c r="R68" i="1"/>
  <c r="R41" i="1"/>
  <c r="R81" i="1"/>
  <c r="R72" i="1"/>
  <c r="R32" i="1"/>
  <c r="R43" i="1"/>
  <c r="R50" i="1"/>
  <c r="R13" i="1"/>
  <c r="R23" i="1"/>
  <c r="R33" i="1"/>
  <c r="R62" i="1"/>
  <c r="S20" i="1"/>
  <c r="R17" i="1"/>
  <c r="R46" i="1"/>
  <c r="S33" i="1"/>
  <c r="R22" i="1"/>
  <c r="R7" i="1"/>
  <c r="R27" i="1"/>
  <c r="S37" i="1"/>
  <c r="R40" i="1"/>
  <c r="S68" i="1"/>
  <c r="R67" i="1"/>
  <c r="R52" i="1"/>
  <c r="S41" i="1"/>
  <c r="R54" i="1"/>
  <c r="S81" i="1"/>
  <c r="R16" i="1"/>
  <c r="S72" i="1"/>
  <c r="R26" i="1"/>
  <c r="S32" i="1"/>
  <c r="R76" i="1"/>
  <c r="S43" i="1"/>
  <c r="R36" i="1"/>
  <c r="S50" i="1"/>
  <c r="R80" i="1"/>
  <c r="R21" i="1"/>
  <c r="S13" i="1"/>
  <c r="R84" i="1"/>
  <c r="S23" i="1"/>
  <c r="R37" i="1"/>
  <c r="N101" i="1" l="1"/>
  <c r="Q101" i="1"/>
  <c r="T116" i="1"/>
  <c r="Q116" i="1"/>
  <c r="N116" i="1"/>
  <c r="S7" i="3"/>
  <c r="P7" i="3"/>
  <c r="M7" i="3"/>
  <c r="T89" i="1"/>
  <c r="Q89" i="1"/>
  <c r="N89" i="1"/>
</calcChain>
</file>

<file path=xl/sharedStrings.xml><?xml version="1.0" encoding="utf-8"?>
<sst xmlns="http://schemas.openxmlformats.org/spreadsheetml/2006/main" count="977" uniqueCount="241">
  <si>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</si>
  <si>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</si>
  <si>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</si>
  <si>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</si>
  <si>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</si>
  <si>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</si>
  <si>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</si>
  <si>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</si>
  <si>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</si>
  <si>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</si>
  <si>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</si>
  <si>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</si>
  <si>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</si>
  <si>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</si>
  <si>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</si>
  <si>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</si>
  <si>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</si>
  <si>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</si>
  <si>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</si>
  <si>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</si>
  <si>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</si>
  <si>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Other Parcels in Sale</t>
  </si>
  <si>
    <t>Land Table</t>
  </si>
  <si>
    <t>Class</t>
  </si>
  <si>
    <t>Rate Group 1</t>
  </si>
  <si>
    <t>PTA</t>
  </si>
  <si>
    <t>19-MULTI PARCEL ARM'S LENGTH</t>
  </si>
  <si>
    <t>50 004 02 0051 300</t>
  </si>
  <si>
    <t>14 NIEMAN</t>
  </si>
  <si>
    <t>03-ARM'S LENGTH</t>
  </si>
  <si>
    <t>00010</t>
  </si>
  <si>
    <t>RESIDENTIAL</t>
  </si>
  <si>
    <t>402</t>
  </si>
  <si>
    <t>STANDARD RATE</t>
  </si>
  <si>
    <t>401</t>
  </si>
  <si>
    <t>50 004 06 0027 000</t>
  </si>
  <si>
    <t>58 FLORENCE</t>
  </si>
  <si>
    <t>50 004 08 0099 000</t>
  </si>
  <si>
    <t>227 HALTINER</t>
  </si>
  <si>
    <t>50 004 10 0039 000</t>
  </si>
  <si>
    <t>145 HALTINER</t>
  </si>
  <si>
    <t>WD</t>
  </si>
  <si>
    <t>50 004 14 0031 000</t>
  </si>
  <si>
    <t>97 ABBOTT</t>
  </si>
  <si>
    <t>50430</t>
  </si>
  <si>
    <t>RESIDENTIAL NORTHEAST</t>
  </si>
  <si>
    <t>RESID.N. EAST</t>
  </si>
  <si>
    <t>50 004 14 0046 000</t>
  </si>
  <si>
    <t>94 ABBOTT</t>
  </si>
  <si>
    <t>09-FAMILY</t>
  </si>
  <si>
    <t>50 004 14 0125 000</t>
  </si>
  <si>
    <t>70 HILL</t>
  </si>
  <si>
    <t>50 004 14 0144 000</t>
  </si>
  <si>
    <t>67 FOREST</t>
  </si>
  <si>
    <t>50 004 14 0155 000</t>
  </si>
  <si>
    <t>82 FOREST</t>
  </si>
  <si>
    <t>50 004 14 0176 000</t>
  </si>
  <si>
    <t>49 ORCHARD</t>
  </si>
  <si>
    <t>50 004 16 0010 000</t>
  </si>
  <si>
    <t>41 STONER</t>
  </si>
  <si>
    <t>OTH</t>
  </si>
  <si>
    <t>50 004 16 0017 000</t>
  </si>
  <si>
    <t>55 STONER</t>
  </si>
  <si>
    <t>50 004 17 0099 000</t>
  </si>
  <si>
    <t>41 HILL</t>
  </si>
  <si>
    <t>50 004 18 0006 000</t>
  </si>
  <si>
    <t>9 ORCHARD</t>
  </si>
  <si>
    <t>50 004 18 0020 000</t>
  </si>
  <si>
    <t>37 ORCHARD</t>
  </si>
  <si>
    <t>50 004 21 0040 001</t>
  </si>
  <si>
    <t>426 GENESEE</t>
  </si>
  <si>
    <t>50 004 25 0042 000</t>
  </si>
  <si>
    <t>21 ELIZABETH</t>
  </si>
  <si>
    <t>50 005 02 0017 000</t>
  </si>
  <si>
    <t>64 E HENRY</t>
  </si>
  <si>
    <t>50 005 02 0044 000</t>
  </si>
  <si>
    <t>53 BATAVIA</t>
  </si>
  <si>
    <t>50 005 06 0009 000</t>
  </si>
  <si>
    <t>166 RICHTER</t>
  </si>
  <si>
    <t>50 005 06 0014 000</t>
  </si>
  <si>
    <t>176 RICHTER</t>
  </si>
  <si>
    <t>50 005 06 0022 000</t>
  </si>
  <si>
    <t>194 RICHTER</t>
  </si>
  <si>
    <t>50 005 06 0032 000</t>
  </si>
  <si>
    <t>212 RICHTER</t>
  </si>
  <si>
    <t>50 005 06 0099 301</t>
  </si>
  <si>
    <t>333 RICHTER</t>
  </si>
  <si>
    <t>50 005 06 0106 301</t>
  </si>
  <si>
    <t>327 RICHTER</t>
  </si>
  <si>
    <t>50 005 06 0105 000</t>
  </si>
  <si>
    <t>50 005 06 0107 302</t>
  </si>
  <si>
    <t>323 RICHTER</t>
  </si>
  <si>
    <t>50 005 06 0115 000</t>
  </si>
  <si>
    <t>309 RICHTER</t>
  </si>
  <si>
    <t>50 005 06 0183 000</t>
  </si>
  <si>
    <t>173 RICHTER</t>
  </si>
  <si>
    <t>50 005 06 0196 000</t>
  </si>
  <si>
    <t>152 GOODELL</t>
  </si>
  <si>
    <t>50 005 06 0195 000</t>
  </si>
  <si>
    <t>50 005 06 0212 002</t>
  </si>
  <si>
    <t>186 GOODELL</t>
  </si>
  <si>
    <t>50 005 06 0228 000</t>
  </si>
  <si>
    <t>216 GOODELL</t>
  </si>
  <si>
    <t>50 005 06 0367 000</t>
  </si>
  <si>
    <t>195 GOODELL</t>
  </si>
  <si>
    <t>50 005 06 0372 002</t>
  </si>
  <si>
    <t>187 GOODELL</t>
  </si>
  <si>
    <t>50 005 06 0397 000</t>
  </si>
  <si>
    <t>145 E HENRY</t>
  </si>
  <si>
    <t>50 005 08 0107 000</t>
  </si>
  <si>
    <t>128 E HENRY</t>
  </si>
  <si>
    <t>50 005 08 0114 000</t>
  </si>
  <si>
    <t>114 E HENRY</t>
  </si>
  <si>
    <t>50 005 08 0165 000</t>
  </si>
  <si>
    <t>125 E HENRY</t>
  </si>
  <si>
    <t>50 005 08 0178 000</t>
  </si>
  <si>
    <t>122 LEROY</t>
  </si>
  <si>
    <t>50 005 08 0185 000</t>
  </si>
  <si>
    <t>108 LEROY</t>
  </si>
  <si>
    <t>50 005 08 0220 000</t>
  </si>
  <si>
    <t>93 LEROY</t>
  </si>
  <si>
    <t>50 005 08 0221 000</t>
  </si>
  <si>
    <t>95 LEROY</t>
  </si>
  <si>
    <t>50 005 08 0272 001</t>
  </si>
  <si>
    <t>E JAMES</t>
  </si>
  <si>
    <t>50 005 08 0275 000</t>
  </si>
  <si>
    <t>50 005 09 0003 002</t>
  </si>
  <si>
    <t>1015 COOLIDGE</t>
  </si>
  <si>
    <t>50 005 09 0126 002</t>
  </si>
  <si>
    <t>121 ELM</t>
  </si>
  <si>
    <t>50 005 09 0151 002</t>
  </si>
  <si>
    <t>130 ELM</t>
  </si>
  <si>
    <t>50 005 09 0163 002</t>
  </si>
  <si>
    <t>115 WALNUT</t>
  </si>
  <si>
    <t>50 005 11 0082 000</t>
  </si>
  <si>
    <t>84 PINE</t>
  </si>
  <si>
    <t>50 005 11 0127 000</t>
  </si>
  <si>
    <t>99 ELM</t>
  </si>
  <si>
    <t>50 005 11 0136 000</t>
  </si>
  <si>
    <t>81 ELM</t>
  </si>
  <si>
    <t>50 005 11 0185 000</t>
  </si>
  <si>
    <t>74 WALNUT</t>
  </si>
  <si>
    <t>50 005 11 0209 002</t>
  </si>
  <si>
    <t>77 CHESTNUT</t>
  </si>
  <si>
    <t>50 006 02 0021 000</t>
  </si>
  <si>
    <t>109 BURKE</t>
  </si>
  <si>
    <t>50 006 04 0106 000</t>
  </si>
  <si>
    <t>102 E ANCHOR</t>
  </si>
  <si>
    <t>50 006 04 0105 000</t>
  </si>
  <si>
    <t>50 007 08 0009 000</t>
  </si>
  <si>
    <t>36 MYRTLE</t>
  </si>
  <si>
    <t>16-LC PAYOFF</t>
  </si>
  <si>
    <t>50 007 10 0009 000</t>
  </si>
  <si>
    <t>29 VICTORIA</t>
  </si>
  <si>
    <t>50 007 12 0004 000</t>
  </si>
  <si>
    <t>10 E PLEASANT</t>
  </si>
  <si>
    <t>50 008 06 0028 300</t>
  </si>
  <si>
    <t>39 MYRTLE</t>
  </si>
  <si>
    <t>50 008 06 0032 002</t>
  </si>
  <si>
    <t>32 LINDEN</t>
  </si>
  <si>
    <t>50 008 06 0031 002, 50 008 06 0033 002</t>
  </si>
  <si>
    <t>50 008 06 0036 000</t>
  </si>
  <si>
    <t>26 LINDEN</t>
  </si>
  <si>
    <t>50 008 06 0065 002</t>
  </si>
  <si>
    <t>38 W HENRY</t>
  </si>
  <si>
    <t>50 008 08 0019 000</t>
  </si>
  <si>
    <t>28 E HENRY</t>
  </si>
  <si>
    <t>50 008 14 0006 000</t>
  </si>
  <si>
    <t>230 CAMPBELL</t>
  </si>
  <si>
    <t>50 008 14 0012 302</t>
  </si>
  <si>
    <t>216 CAMPBELL</t>
  </si>
  <si>
    <t>50 008 14 0014 000</t>
  </si>
  <si>
    <t>50 008 14 0035 000</t>
  </si>
  <si>
    <t>225 CAMPBELL</t>
  </si>
  <si>
    <t>50 008 14 0034 000, 50 008 14 0036 000</t>
  </si>
  <si>
    <t>50 008 15 0019 002</t>
  </si>
  <si>
    <t>274 CAMPBELL</t>
  </si>
  <si>
    <t>50 008 16 0022 000</t>
  </si>
  <si>
    <t>289 FRAZIER</t>
  </si>
  <si>
    <t>50 008 16 0054 000</t>
  </si>
  <si>
    <t>357 FRAZIER</t>
  </si>
  <si>
    <t>50 008 16 0098 000</t>
  </si>
  <si>
    <t>280 FRAZIER</t>
  </si>
  <si>
    <t>50 009 01 0105 304</t>
  </si>
  <si>
    <t>346 POLK</t>
  </si>
  <si>
    <t>50 009 01 0341 000</t>
  </si>
  <si>
    <t>532 HOLFORD</t>
  </si>
  <si>
    <t>50 009 01 0383 000</t>
  </si>
  <si>
    <t>442 HOLFORD</t>
  </si>
  <si>
    <t>50 009 01 0384 000</t>
  </si>
  <si>
    <t>50 009 02 0092 000</t>
  </si>
  <si>
    <t>332 CAMPBELL</t>
  </si>
  <si>
    <t>50 009 03 0038 002</t>
  </si>
  <si>
    <t>445 FRAZIER</t>
  </si>
  <si>
    <t>50 009 03 0053 002</t>
  </si>
  <si>
    <t>481 FRAZIER</t>
  </si>
  <si>
    <t>50 009 03 0073 002</t>
  </si>
  <si>
    <t>472 FRAZIER</t>
  </si>
  <si>
    <t>50 009 03 0085 000</t>
  </si>
  <si>
    <t>446 FRAZIER</t>
  </si>
  <si>
    <t>50 009 04 0039 002</t>
  </si>
  <si>
    <t>314 BEECHWOOD</t>
  </si>
  <si>
    <t>50 009 04 0282 000</t>
  </si>
  <si>
    <t>299 BEECHWOOD</t>
  </si>
  <si>
    <t>50 009 04 0284 300</t>
  </si>
  <si>
    <t>295 BEECHWOOD</t>
  </si>
  <si>
    <t>50 010 01 0099 000</t>
  </si>
  <si>
    <t>535 SUPERIOR</t>
  </si>
  <si>
    <t>50420</t>
  </si>
  <si>
    <t>URBAN RENEWAL PLAT</t>
  </si>
  <si>
    <t>50 010 01 0132 000</t>
  </si>
  <si>
    <t>531 LENOIR</t>
  </si>
  <si>
    <t>50 010 01 0162 000</t>
  </si>
  <si>
    <t>524 LENOIR</t>
  </si>
  <si>
    <t>50 010 02 0100 002</t>
  </si>
  <si>
    <t>439 CAMPBELL</t>
  </si>
  <si>
    <t>50 010 02 0103 002</t>
  </si>
  <si>
    <t>443 CAMPBELL</t>
  </si>
  <si>
    <t>50 010 02 0151 002</t>
  </si>
  <si>
    <t>547 CAMPBELL</t>
  </si>
  <si>
    <t>50 010 03 0018 300</t>
  </si>
  <si>
    <t>529 FRAZIER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</si>
  <si>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</si>
  <si>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</si>
  <si>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</si>
  <si>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</si>
  <si>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</si>
  <si>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</si>
  <si>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</si>
  <si>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2025 Land Analysis-City of River Rouge</t>
  </si>
  <si>
    <t>Residential Table</t>
  </si>
  <si>
    <t>Residential Northeast</t>
  </si>
  <si>
    <t>Urban Renewal Plat</t>
  </si>
  <si>
    <t>*2025*</t>
  </si>
  <si>
    <t>Increasing from $150/FF to $170/FF</t>
  </si>
  <si>
    <t>Increasing from $175/FF to $200/FF</t>
  </si>
  <si>
    <t>14% increase</t>
  </si>
  <si>
    <t>Low Data Set-3 Sales; 13% increase</t>
  </si>
  <si>
    <t>Increasing 14% in line with 'Residential' Table</t>
  </si>
  <si>
    <t>Only three sales, once obvious outlier removed, shows significant increase</t>
  </si>
  <si>
    <t>Increasing from $100/FF to $114/FF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</si>
</sst>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0" fontId="4" fillId="0" borderId="2" xfId="0" applyFont="1" applyBorder="1"/>
    <xf numFmtId="0" fontId="0" fillId="0" borderId="2" xfId="0" applyBorder="1"/>
    <xf numFmtId="165" fontId="0" fillId="0" borderId="2" xfId="0" applyNumberFormat="1" applyBorder="1"/>
    <xf numFmtId="6" fontId="0" fillId="4" borderId="0" xfId="0" applyNumberFormat="1" applyFill="1"/>
    <xf numFmtId="6" fontId="1" fillId="4" borderId="0" xfId="0" applyNumberFormat="1" applyFont="1" applyFill="1"/>
    <xf numFmtId="166" fontId="1" fillId="4" borderId="0" xfId="0" applyNumberFormat="1" applyFont="1" applyFill="1"/>
    <xf numFmtId="167" fontId="1" fillId="4" borderId="0" xfId="0" applyNumberFormat="1" applyFont="1" applyFill="1"/>
  </cellXfs>
  <cellStyles count="1">
    <cellStyle name="Normal" xfId="0" builtinId="0"/>
  </cellStyles>
  <dxfs count="6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9"/>
  <sheetViews>
    <sheetView tabSelected="1" topLeftCell="A85" workbookViewId="0">
      <selection activeCell="E106" sqref="E106"/>
    </sheetView>
  </sheetViews>
  <sheetFormatPr defaultRowHeight="15" x14ac:dyDescent="0.25"/>
  <cols>
    <col min="1" max="1" width="23.5703125" bestFit="1" customWidth="1"/>
    <col min="2" max="2" width="16.85546875" bestFit="1" customWidth="1"/>
    <col min="3" max="3" width="18.7109375" bestFit="1" customWidth="1"/>
    <col min="4" max="4" width="16.7109375" style="25" customWidth="1"/>
    <col min="5" max="5" width="17.7109375" style="15" customWidth="1"/>
    <col min="6" max="6" width="8.7109375" customWidth="1"/>
    <col min="7" max="7" width="49.7109375" customWidth="1"/>
    <col min="8" max="9" width="17.7109375" style="15" customWidth="1"/>
    <col min="10" max="10" width="18.7109375" style="20" customWidth="1"/>
    <col min="11" max="11" width="17.7109375" style="15" customWidth="1"/>
    <col min="12" max="12" width="18.7109375" style="15" customWidth="1"/>
    <col min="13" max="13" width="20.7109375" style="15" customWidth="1"/>
    <col min="14" max="14" width="17.7109375" style="30" customWidth="1"/>
    <col min="15" max="15" width="10.7109375" style="34" customWidth="1"/>
    <col min="16" max="16" width="14.7109375" style="39" customWidth="1"/>
    <col min="17" max="17" width="16.7109375" style="39" customWidth="1"/>
    <col min="18" max="18" width="15.7109375" style="15" customWidth="1"/>
    <col min="19" max="19" width="17.7109375" style="15" customWidth="1"/>
    <col min="20" max="20" width="17.7109375" style="44" customWidth="1"/>
    <col min="21" max="21" width="17.7109375" style="39" customWidth="1"/>
    <col min="22" max="22" width="20.7109375" style="5" customWidth="1"/>
    <col min="23" max="23" width="40.7109375" customWidth="1"/>
    <col min="24" max="24" width="15.7109375" customWidth="1"/>
    <col min="25" max="26" width="20.7109375" customWidth="1"/>
  </cols>
  <sheetData>
    <row r="1" spans="1:46" ht="26.25" x14ac:dyDescent="0.4">
      <c r="A1" s="49" t="s">
        <v>229</v>
      </c>
      <c r="B1" s="49"/>
      <c r="C1" s="50"/>
      <c r="D1" s="51"/>
    </row>
    <row r="3" spans="1:46" x14ac:dyDescent="0.25">
      <c r="A3" s="1" t="s">
        <v>230</v>
      </c>
    </row>
    <row r="4" spans="1:46" x14ac:dyDescent="0.25">
      <c r="A4" s="2" t="s">
        <v>22</v>
      </c>
      <c r="B4" s="2" t="s">
        <v>0</v>
      </c>
      <c r="C4" s="2" t="s">
        <v>1</v>
      </c>
      <c r="D4" s="24" t="s">
        <v>2</v>
      </c>
      <c r="E4" s="14" t="s">
        <v>3</v>
      </c>
      <c r="F4" s="2" t="s">
        <v>4</v>
      </c>
      <c r="G4" s="2" t="s">
        <v>5</v>
      </c>
      <c r="H4" s="14" t="s">
        <v>6</v>
      </c>
      <c r="I4" s="14" t="s">
        <v>7</v>
      </c>
      <c r="J4" s="19" t="s">
        <v>8</v>
      </c>
      <c r="K4" s="14" t="s">
        <v>9</v>
      </c>
      <c r="L4" s="14" t="s">
        <v>10</v>
      </c>
      <c r="M4" s="14" t="s">
        <v>11</v>
      </c>
      <c r="N4" s="29" t="s">
        <v>12</v>
      </c>
      <c r="O4" s="33" t="s">
        <v>13</v>
      </c>
      <c r="P4" s="38" t="s">
        <v>14</v>
      </c>
      <c r="Q4" s="38" t="s">
        <v>15</v>
      </c>
      <c r="R4" s="14" t="s">
        <v>16</v>
      </c>
      <c r="S4" s="14" t="s">
        <v>17</v>
      </c>
      <c r="T4" s="43" t="s">
        <v>18</v>
      </c>
      <c r="U4" s="38" t="s">
        <v>19</v>
      </c>
      <c r="V4" s="4" t="s">
        <v>20</v>
      </c>
      <c r="W4" s="2" t="s">
        <v>21</v>
      </c>
      <c r="X4" s="2" t="s">
        <v>22</v>
      </c>
      <c r="Y4" s="2" t="s">
        <v>23</v>
      </c>
      <c r="Z4" s="2" t="s">
        <v>24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t="s">
        <v>31</v>
      </c>
      <c r="B5" t="s">
        <v>113</v>
      </c>
      <c r="C5" t="s">
        <v>114</v>
      </c>
      <c r="D5" s="25">
        <v>45044</v>
      </c>
      <c r="E5" s="15">
        <v>11500</v>
      </c>
      <c r="F5" t="s">
        <v>25</v>
      </c>
      <c r="G5" t="s">
        <v>29</v>
      </c>
      <c r="H5" s="15">
        <v>11500</v>
      </c>
      <c r="I5" s="15">
        <v>23900</v>
      </c>
      <c r="J5" s="20">
        <f>I5/H5*100</f>
        <v>207.82608695652175</v>
      </c>
      <c r="K5" s="15">
        <v>61946</v>
      </c>
      <c r="L5" s="15">
        <f>H5-56440</f>
        <v>-44940</v>
      </c>
      <c r="M5" s="15">
        <v>5506</v>
      </c>
      <c r="N5" s="30">
        <v>31.464265000000001</v>
      </c>
      <c r="O5" s="34">
        <v>110</v>
      </c>
      <c r="P5" s="39">
        <v>7.5999999999999998E-2</v>
      </c>
      <c r="Q5" s="39">
        <v>7.5999999999999998E-2</v>
      </c>
      <c r="R5" s="15">
        <f>L5/N5</f>
        <v>-1428.2869788949463</v>
      </c>
      <c r="S5" s="15">
        <f>L5/P5</f>
        <v>-591315.78947368427</v>
      </c>
      <c r="T5" s="44">
        <f>L5/P5/43560</f>
        <v>-13.574742641728289</v>
      </c>
      <c r="U5" s="39">
        <v>30</v>
      </c>
      <c r="V5" s="6" t="s">
        <v>30</v>
      </c>
      <c r="X5" t="s">
        <v>31</v>
      </c>
      <c r="Y5" s="7" t="s">
        <v>34</v>
      </c>
      <c r="Z5" t="s">
        <v>33</v>
      </c>
    </row>
    <row r="6" spans="1:46" x14ac:dyDescent="0.25">
      <c r="A6" t="s">
        <v>31</v>
      </c>
      <c r="B6" t="s">
        <v>92</v>
      </c>
      <c r="C6" t="s">
        <v>93</v>
      </c>
      <c r="D6" s="25">
        <v>45016</v>
      </c>
      <c r="E6" s="15">
        <v>57000</v>
      </c>
      <c r="F6" t="s">
        <v>41</v>
      </c>
      <c r="G6" t="s">
        <v>29</v>
      </c>
      <c r="H6" s="15">
        <v>57000</v>
      </c>
      <c r="I6" s="15">
        <v>29200</v>
      </c>
      <c r="J6" s="20">
        <f>I6/H6*100</f>
        <v>51.228070175438603</v>
      </c>
      <c r="K6" s="15">
        <v>95173</v>
      </c>
      <c r="L6" s="15">
        <f>H6-89923</f>
        <v>-32923</v>
      </c>
      <c r="M6" s="15">
        <v>5250</v>
      </c>
      <c r="N6" s="30">
        <v>30</v>
      </c>
      <c r="O6" s="34">
        <v>100</v>
      </c>
      <c r="P6" s="39">
        <v>6.9000000000000006E-2</v>
      </c>
      <c r="Q6" s="39">
        <v>6.9000000000000006E-2</v>
      </c>
      <c r="R6" s="15">
        <f>L6/N6</f>
        <v>-1097.4333333333334</v>
      </c>
      <c r="S6" s="15">
        <f>L6/P6</f>
        <v>-477144.92753623187</v>
      </c>
      <c r="T6" s="44">
        <f>L6/P6/43560</f>
        <v>-10.953740301566388</v>
      </c>
      <c r="U6" s="39">
        <v>30</v>
      </c>
      <c r="V6" s="6" t="s">
        <v>30</v>
      </c>
      <c r="X6" t="s">
        <v>31</v>
      </c>
      <c r="Y6" s="7" t="s">
        <v>34</v>
      </c>
      <c r="Z6" t="s">
        <v>33</v>
      </c>
    </row>
    <row r="7" spans="1:46" x14ac:dyDescent="0.25">
      <c r="A7" t="s">
        <v>31</v>
      </c>
      <c r="B7" t="s">
        <v>81</v>
      </c>
      <c r="C7" t="s">
        <v>82</v>
      </c>
      <c r="D7" s="25">
        <v>44743</v>
      </c>
      <c r="E7" s="15">
        <v>75000</v>
      </c>
      <c r="F7" t="s">
        <v>25</v>
      </c>
      <c r="G7" t="s">
        <v>29</v>
      </c>
      <c r="H7" s="15">
        <v>75000</v>
      </c>
      <c r="I7" s="15">
        <v>38300</v>
      </c>
      <c r="J7" s="20">
        <f>I7/H7*100</f>
        <v>51.06666666666667</v>
      </c>
      <c r="K7" s="15">
        <v>127785</v>
      </c>
      <c r="L7" s="15">
        <f>H7-120360</f>
        <v>-45360</v>
      </c>
      <c r="M7" s="15">
        <v>7425</v>
      </c>
      <c r="N7" s="30">
        <v>42.426406999999998</v>
      </c>
      <c r="O7" s="34">
        <v>100</v>
      </c>
      <c r="P7" s="39">
        <v>0.13800000000000001</v>
      </c>
      <c r="Q7" s="39">
        <v>0.13800000000000001</v>
      </c>
      <c r="R7" s="15">
        <f>L7/N7</f>
        <v>-1069.1454499081199</v>
      </c>
      <c r="S7" s="15">
        <f>L7/P7</f>
        <v>-328695.65217391303</v>
      </c>
      <c r="T7" s="44">
        <f>L7/P7/43560</f>
        <v>-7.5458138699245412</v>
      </c>
      <c r="U7" s="39">
        <v>60</v>
      </c>
      <c r="V7" s="6" t="s">
        <v>30</v>
      </c>
      <c r="X7" t="s">
        <v>31</v>
      </c>
      <c r="Y7" s="7" t="s">
        <v>34</v>
      </c>
      <c r="Z7" t="s">
        <v>33</v>
      </c>
    </row>
    <row r="8" spans="1:46" x14ac:dyDescent="0.25">
      <c r="A8" t="s">
        <v>31</v>
      </c>
      <c r="B8" t="s">
        <v>111</v>
      </c>
      <c r="C8" t="s">
        <v>112</v>
      </c>
      <c r="D8" s="25">
        <v>44973</v>
      </c>
      <c r="E8" s="15">
        <v>35000</v>
      </c>
      <c r="F8" t="s">
        <v>25</v>
      </c>
      <c r="G8" t="s">
        <v>29</v>
      </c>
      <c r="H8" s="15">
        <v>35000</v>
      </c>
      <c r="I8" s="15">
        <v>18200</v>
      </c>
      <c r="J8" s="20">
        <f>I8/H8*100</f>
        <v>52</v>
      </c>
      <c r="K8" s="15">
        <v>58839</v>
      </c>
      <c r="L8" s="15">
        <f>H8-53333</f>
        <v>-18333</v>
      </c>
      <c r="M8" s="15">
        <v>5506</v>
      </c>
      <c r="N8" s="30">
        <v>31.464265000000001</v>
      </c>
      <c r="O8" s="34">
        <v>110</v>
      </c>
      <c r="P8" s="39">
        <v>7.5999999999999998E-2</v>
      </c>
      <c r="Q8" s="39">
        <v>7.5999999999999998E-2</v>
      </c>
      <c r="R8" s="15">
        <f>L8/N8</f>
        <v>-582.66099653050844</v>
      </c>
      <c r="S8" s="15">
        <f>L8/P8</f>
        <v>-241223.68421052632</v>
      </c>
      <c r="T8" s="44">
        <f>L8/P8/43560</f>
        <v>-5.5377337973031757</v>
      </c>
      <c r="U8" s="39">
        <v>30</v>
      </c>
      <c r="V8" s="6" t="s">
        <v>30</v>
      </c>
      <c r="X8" t="s">
        <v>31</v>
      </c>
      <c r="Y8" s="7" t="s">
        <v>34</v>
      </c>
      <c r="Z8" t="s">
        <v>33</v>
      </c>
    </row>
    <row r="9" spans="1:46" x14ac:dyDescent="0.25">
      <c r="A9" t="s">
        <v>31</v>
      </c>
      <c r="B9" t="s">
        <v>73</v>
      </c>
      <c r="C9" t="s">
        <v>74</v>
      </c>
      <c r="D9" s="25">
        <v>44776</v>
      </c>
      <c r="E9" s="15">
        <v>26000</v>
      </c>
      <c r="F9" t="s">
        <v>25</v>
      </c>
      <c r="G9" t="s">
        <v>29</v>
      </c>
      <c r="H9" s="15">
        <v>26000</v>
      </c>
      <c r="I9" s="15">
        <v>13900</v>
      </c>
      <c r="J9" s="20">
        <f>I9/H9*100</f>
        <v>53.46153846153846</v>
      </c>
      <c r="K9" s="15">
        <v>47473</v>
      </c>
      <c r="L9" s="15">
        <f>H9-42223</f>
        <v>-16223</v>
      </c>
      <c r="M9" s="15">
        <v>5250</v>
      </c>
      <c r="N9" s="30">
        <v>30</v>
      </c>
      <c r="O9" s="34">
        <v>100</v>
      </c>
      <c r="P9" s="39">
        <v>6.9000000000000006E-2</v>
      </c>
      <c r="Q9" s="39">
        <v>6.9000000000000006E-2</v>
      </c>
      <c r="R9" s="15">
        <f>L9/N9</f>
        <v>-540.76666666666665</v>
      </c>
      <c r="S9" s="15">
        <f>L9/P9</f>
        <v>-235115.94202898548</v>
      </c>
      <c r="T9" s="44">
        <f>L9/P9/43560</f>
        <v>-5.3975193303256539</v>
      </c>
      <c r="U9" s="39">
        <v>30</v>
      </c>
      <c r="V9" s="6" t="s">
        <v>30</v>
      </c>
      <c r="X9" t="s">
        <v>31</v>
      </c>
      <c r="Y9" s="7" t="s">
        <v>34</v>
      </c>
      <c r="Z9" t="s">
        <v>33</v>
      </c>
    </row>
    <row r="10" spans="1:46" x14ac:dyDescent="0.25">
      <c r="A10" t="s">
        <v>31</v>
      </c>
      <c r="B10" t="s">
        <v>149</v>
      </c>
      <c r="C10" t="s">
        <v>150</v>
      </c>
      <c r="D10" s="25">
        <v>44741</v>
      </c>
      <c r="E10" s="15">
        <v>53000</v>
      </c>
      <c r="F10" t="s">
        <v>41</v>
      </c>
      <c r="G10" t="s">
        <v>151</v>
      </c>
      <c r="H10" s="15">
        <v>53000</v>
      </c>
      <c r="I10" s="15">
        <v>21600</v>
      </c>
      <c r="J10" s="20">
        <f>I10/H10*100</f>
        <v>40.754716981132077</v>
      </c>
      <c r="K10" s="15">
        <v>74473</v>
      </c>
      <c r="L10" s="15">
        <f>H10-69051</f>
        <v>-16051</v>
      </c>
      <c r="M10" s="15">
        <v>5422</v>
      </c>
      <c r="N10" s="30">
        <v>30.983867</v>
      </c>
      <c r="O10" s="34">
        <v>100</v>
      </c>
      <c r="P10" s="39">
        <v>7.2999999999999995E-2</v>
      </c>
      <c r="Q10" s="39">
        <v>7.2999999999999995E-2</v>
      </c>
      <c r="R10" s="15">
        <f>L10/N10</f>
        <v>-518.04379356521247</v>
      </c>
      <c r="S10" s="15">
        <f>L10/P10</f>
        <v>-219876.71232876714</v>
      </c>
      <c r="T10" s="44">
        <f>L10/P10/43560</f>
        <v>-5.0476747550222028</v>
      </c>
      <c r="U10" s="39">
        <v>32</v>
      </c>
      <c r="V10" s="6" t="s">
        <v>30</v>
      </c>
      <c r="X10" t="s">
        <v>31</v>
      </c>
      <c r="Y10" s="7" t="s">
        <v>34</v>
      </c>
      <c r="Z10" t="s">
        <v>33</v>
      </c>
    </row>
    <row r="11" spans="1:46" x14ac:dyDescent="0.25">
      <c r="A11" t="s">
        <v>31</v>
      </c>
      <c r="B11" t="s">
        <v>183</v>
      </c>
      <c r="C11" t="s">
        <v>184</v>
      </c>
      <c r="D11" s="25">
        <v>44697</v>
      </c>
      <c r="E11" s="15">
        <v>85000</v>
      </c>
      <c r="F11" t="s">
        <v>25</v>
      </c>
      <c r="G11" t="s">
        <v>29</v>
      </c>
      <c r="H11" s="15">
        <v>85000</v>
      </c>
      <c r="I11" s="15">
        <v>34600</v>
      </c>
      <c r="J11" s="20">
        <f>I11/H11*100</f>
        <v>40.705882352941174</v>
      </c>
      <c r="K11" s="15">
        <v>115310</v>
      </c>
      <c r="L11" s="15">
        <f>H11-107009</f>
        <v>-22009</v>
      </c>
      <c r="M11" s="15">
        <v>8301</v>
      </c>
      <c r="N11" s="30">
        <v>47.434165</v>
      </c>
      <c r="O11" s="34">
        <v>100</v>
      </c>
      <c r="P11" s="39">
        <v>0.17199999999999999</v>
      </c>
      <c r="Q11" s="39">
        <v>0.17199999999999999</v>
      </c>
      <c r="R11" s="15">
        <f>L11/N11</f>
        <v>-463.99045919750034</v>
      </c>
      <c r="S11" s="15">
        <f>L11/P11</f>
        <v>-127959.3023255814</v>
      </c>
      <c r="T11" s="44">
        <f>L11/P11/43560</f>
        <v>-2.9375413757020525</v>
      </c>
      <c r="U11" s="39">
        <v>75</v>
      </c>
      <c r="V11" s="6" t="s">
        <v>30</v>
      </c>
      <c r="X11" t="s">
        <v>31</v>
      </c>
      <c r="Y11" s="7" t="s">
        <v>34</v>
      </c>
      <c r="Z11" t="s">
        <v>33</v>
      </c>
    </row>
    <row r="12" spans="1:46" x14ac:dyDescent="0.25">
      <c r="A12" t="s">
        <v>31</v>
      </c>
      <c r="B12" t="s">
        <v>202</v>
      </c>
      <c r="C12" t="s">
        <v>203</v>
      </c>
      <c r="D12" s="25">
        <v>45170</v>
      </c>
      <c r="E12" s="15">
        <v>37500</v>
      </c>
      <c r="F12" t="s">
        <v>41</v>
      </c>
      <c r="G12" t="s">
        <v>29</v>
      </c>
      <c r="H12" s="15">
        <v>37500</v>
      </c>
      <c r="I12" s="15">
        <v>21200</v>
      </c>
      <c r="J12" s="20">
        <f>I12/H12*100</f>
        <v>56.533333333333339</v>
      </c>
      <c r="K12" s="15">
        <v>55142</v>
      </c>
      <c r="L12" s="15">
        <f>H12-49651</f>
        <v>-12151</v>
      </c>
      <c r="M12" s="15">
        <v>5491</v>
      </c>
      <c r="N12" s="30">
        <v>31.378336000000001</v>
      </c>
      <c r="O12" s="34">
        <v>109.400002</v>
      </c>
      <c r="P12" s="39">
        <v>7.4999999999999997E-2</v>
      </c>
      <c r="Q12" s="39">
        <v>7.4999999999999997E-2</v>
      </c>
      <c r="R12" s="15">
        <f>L12/N12</f>
        <v>-387.2416943970515</v>
      </c>
      <c r="S12" s="15">
        <f>L12/P12</f>
        <v>-162013.33333333334</v>
      </c>
      <c r="T12" s="44">
        <f>L12/P12/43560</f>
        <v>-3.7193143556779922</v>
      </c>
      <c r="U12" s="39">
        <v>30</v>
      </c>
      <c r="V12" s="6" t="s">
        <v>30</v>
      </c>
      <c r="X12" t="s">
        <v>31</v>
      </c>
      <c r="Y12" s="7" t="s">
        <v>34</v>
      </c>
      <c r="Z12" t="s">
        <v>33</v>
      </c>
    </row>
    <row r="13" spans="1:46" x14ac:dyDescent="0.25">
      <c r="A13" t="s">
        <v>31</v>
      </c>
      <c r="B13" t="s">
        <v>200</v>
      </c>
      <c r="C13" t="s">
        <v>201</v>
      </c>
      <c r="D13" s="25">
        <v>44770</v>
      </c>
      <c r="E13" s="15">
        <v>72000</v>
      </c>
      <c r="F13" t="s">
        <v>25</v>
      </c>
      <c r="G13" t="s">
        <v>29</v>
      </c>
      <c r="H13" s="15">
        <v>72000</v>
      </c>
      <c r="I13" s="15">
        <v>25800</v>
      </c>
      <c r="J13" s="20">
        <f>I13/H13*100</f>
        <v>35.833333333333336</v>
      </c>
      <c r="K13" s="15">
        <v>92673</v>
      </c>
      <c r="L13" s="15">
        <f>H13-85948</f>
        <v>-13948</v>
      </c>
      <c r="M13" s="15">
        <v>6725</v>
      </c>
      <c r="N13" s="30">
        <v>38.430456999999997</v>
      </c>
      <c r="O13" s="34">
        <v>109.400002</v>
      </c>
      <c r="P13" s="39">
        <v>0.113</v>
      </c>
      <c r="Q13" s="39">
        <v>0.113</v>
      </c>
      <c r="R13" s="15">
        <f>L13/N13</f>
        <v>-362.9412993969861</v>
      </c>
      <c r="S13" s="15">
        <f>L13/P13</f>
        <v>-123433.62831858407</v>
      </c>
      <c r="T13" s="44">
        <f>L13/P13/43560</f>
        <v>-2.833646196478055</v>
      </c>
      <c r="U13" s="39">
        <v>45</v>
      </c>
      <c r="V13" s="6" t="s">
        <v>30</v>
      </c>
      <c r="X13" t="s">
        <v>31</v>
      </c>
      <c r="Y13" s="7" t="s">
        <v>34</v>
      </c>
      <c r="Z13" t="s">
        <v>33</v>
      </c>
    </row>
    <row r="14" spans="1:46" x14ac:dyDescent="0.25">
      <c r="A14" t="s">
        <v>31</v>
      </c>
      <c r="B14" t="s">
        <v>163</v>
      </c>
      <c r="C14" t="s">
        <v>164</v>
      </c>
      <c r="D14" s="25">
        <v>45356</v>
      </c>
      <c r="E14" s="15">
        <v>89000</v>
      </c>
      <c r="F14" t="s">
        <v>25</v>
      </c>
      <c r="G14" t="s">
        <v>29</v>
      </c>
      <c r="H14" s="15">
        <v>89000</v>
      </c>
      <c r="I14" s="15">
        <v>42700</v>
      </c>
      <c r="J14" s="20">
        <f>I14/H14*100</f>
        <v>47.977528089887642</v>
      </c>
      <c r="K14" s="15">
        <v>106239</v>
      </c>
      <c r="L14" s="15">
        <f>H14-100177</f>
        <v>-11177</v>
      </c>
      <c r="M14" s="15">
        <v>6062</v>
      </c>
      <c r="N14" s="30">
        <v>34.641016</v>
      </c>
      <c r="O14" s="34">
        <v>100</v>
      </c>
      <c r="P14" s="39">
        <v>9.1999999999999998E-2</v>
      </c>
      <c r="Q14" s="39">
        <v>9.1999999999999998E-2</v>
      </c>
      <c r="R14" s="15">
        <f>L14/N14</f>
        <v>-322.65219934657807</v>
      </c>
      <c r="S14" s="15">
        <f>L14/P14</f>
        <v>-121489.13043478261</v>
      </c>
      <c r="T14" s="44">
        <f>L14/P14/43560</f>
        <v>-2.7890066674651655</v>
      </c>
      <c r="U14" s="39">
        <v>40</v>
      </c>
      <c r="V14" s="6" t="s">
        <v>30</v>
      </c>
      <c r="X14" t="s">
        <v>31</v>
      </c>
      <c r="Y14" s="7" t="s">
        <v>34</v>
      </c>
      <c r="Z14" t="s">
        <v>33</v>
      </c>
    </row>
    <row r="15" spans="1:46" x14ac:dyDescent="0.25">
      <c r="A15" t="s">
        <v>31</v>
      </c>
      <c r="B15" t="s">
        <v>52</v>
      </c>
      <c r="C15" t="s">
        <v>53</v>
      </c>
      <c r="D15" s="25">
        <v>44960</v>
      </c>
      <c r="E15" s="15">
        <v>19000</v>
      </c>
      <c r="F15" t="s">
        <v>25</v>
      </c>
      <c r="G15" t="s">
        <v>29</v>
      </c>
      <c r="H15" s="15">
        <v>19000</v>
      </c>
      <c r="I15" s="15">
        <v>10400</v>
      </c>
      <c r="J15" s="20">
        <f>I15/H15*100</f>
        <v>54.736842105263165</v>
      </c>
      <c r="K15" s="15">
        <v>34040</v>
      </c>
      <c r="L15" s="15">
        <f>H15-28534</f>
        <v>-9534</v>
      </c>
      <c r="M15" s="15">
        <v>5506</v>
      </c>
      <c r="N15" s="30">
        <v>31.464265000000001</v>
      </c>
      <c r="O15" s="34">
        <v>110</v>
      </c>
      <c r="P15" s="39">
        <v>7.5999999999999998E-2</v>
      </c>
      <c r="Q15" s="39">
        <v>7.5999999999999998E-2</v>
      </c>
      <c r="R15" s="15">
        <f>L15/N15</f>
        <v>-303.01041514874095</v>
      </c>
      <c r="S15" s="15">
        <f>L15/P15</f>
        <v>-125447.36842105264</v>
      </c>
      <c r="T15" s="44">
        <f>L15/P15/43560</f>
        <v>-2.8798753081049733</v>
      </c>
      <c r="U15" s="39">
        <v>30</v>
      </c>
      <c r="V15" s="6" t="s">
        <v>30</v>
      </c>
      <c r="X15" t="s">
        <v>31</v>
      </c>
      <c r="Y15" s="7" t="s">
        <v>34</v>
      </c>
      <c r="Z15" t="s">
        <v>33</v>
      </c>
    </row>
    <row r="16" spans="1:46" x14ac:dyDescent="0.25">
      <c r="A16" t="s">
        <v>31</v>
      </c>
      <c r="B16" t="s">
        <v>144</v>
      </c>
      <c r="C16" t="s">
        <v>145</v>
      </c>
      <c r="D16" s="25">
        <v>45012</v>
      </c>
      <c r="E16" s="15">
        <v>120000</v>
      </c>
      <c r="F16" t="s">
        <v>25</v>
      </c>
      <c r="G16" t="s">
        <v>29</v>
      </c>
      <c r="H16" s="15">
        <v>120000</v>
      </c>
      <c r="I16" s="15">
        <v>42200</v>
      </c>
      <c r="J16" s="20">
        <f>I16/H16*100</f>
        <v>35.166666666666671</v>
      </c>
      <c r="K16" s="15">
        <v>134469</v>
      </c>
      <c r="L16" s="15">
        <f>H16-128963</f>
        <v>-8963</v>
      </c>
      <c r="M16" s="15">
        <v>5506</v>
      </c>
      <c r="N16" s="30">
        <v>31.464265000000001</v>
      </c>
      <c r="O16" s="34">
        <v>110</v>
      </c>
      <c r="P16" s="39">
        <v>7.5999999999999998E-2</v>
      </c>
      <c r="Q16" s="39">
        <v>7.5999999999999998E-2</v>
      </c>
      <c r="R16" s="15">
        <f>L16/N16</f>
        <v>-284.86284361004459</v>
      </c>
      <c r="S16" s="15">
        <f>L16/P16</f>
        <v>-117934.21052631579</v>
      </c>
      <c r="T16" s="44">
        <f>L16/P16/43560</f>
        <v>-2.7073969358658352</v>
      </c>
      <c r="U16" s="39">
        <v>30</v>
      </c>
      <c r="V16" s="6" t="s">
        <v>30</v>
      </c>
      <c r="X16" t="s">
        <v>31</v>
      </c>
      <c r="Y16" s="7" t="s">
        <v>34</v>
      </c>
      <c r="Z16" t="s">
        <v>33</v>
      </c>
    </row>
    <row r="17" spans="1:26" x14ac:dyDescent="0.25">
      <c r="A17" t="s">
        <v>31</v>
      </c>
      <c r="B17" t="s">
        <v>56</v>
      </c>
      <c r="C17" t="s">
        <v>57</v>
      </c>
      <c r="D17" s="25">
        <v>45209</v>
      </c>
      <c r="E17" s="15">
        <v>30000</v>
      </c>
      <c r="F17" t="s">
        <v>41</v>
      </c>
      <c r="G17" t="s">
        <v>29</v>
      </c>
      <c r="H17" s="15">
        <v>30000</v>
      </c>
      <c r="I17" s="15">
        <v>16900</v>
      </c>
      <c r="J17" s="20">
        <f>I17/H17*100</f>
        <v>56.333333333333336</v>
      </c>
      <c r="K17" s="15">
        <v>43975</v>
      </c>
      <c r="L17" s="15">
        <f>H17-38501</f>
        <v>-8501</v>
      </c>
      <c r="M17" s="15">
        <v>5474</v>
      </c>
      <c r="N17" s="30">
        <v>31.279226000000001</v>
      </c>
      <c r="O17" s="34">
        <v>108.709999</v>
      </c>
      <c r="P17" s="39">
        <v>7.4999999999999997E-2</v>
      </c>
      <c r="Q17" s="39">
        <v>7.4999999999999997E-2</v>
      </c>
      <c r="R17" s="15">
        <f>L17/N17</f>
        <v>-271.77782468146751</v>
      </c>
      <c r="S17" s="15">
        <f>L17/P17</f>
        <v>-113346.66666666667</v>
      </c>
      <c r="T17" s="44">
        <f>L17/P17/43560</f>
        <v>-2.6020814202632385</v>
      </c>
      <c r="U17" s="39">
        <v>30</v>
      </c>
      <c r="V17" s="6" t="s">
        <v>30</v>
      </c>
      <c r="X17" t="s">
        <v>31</v>
      </c>
      <c r="Y17" s="7" t="s">
        <v>34</v>
      </c>
      <c r="Z17" t="s">
        <v>33</v>
      </c>
    </row>
    <row r="18" spans="1:26" x14ac:dyDescent="0.25">
      <c r="A18" t="s">
        <v>31</v>
      </c>
      <c r="B18" t="s">
        <v>161</v>
      </c>
      <c r="C18" t="s">
        <v>162</v>
      </c>
      <c r="D18" s="25">
        <v>45334</v>
      </c>
      <c r="E18" s="15">
        <v>60000</v>
      </c>
      <c r="F18" t="s">
        <v>25</v>
      </c>
      <c r="G18" t="s">
        <v>29</v>
      </c>
      <c r="H18" s="15">
        <v>60000</v>
      </c>
      <c r="I18" s="15">
        <v>31400</v>
      </c>
      <c r="J18" s="20">
        <f>I18/H18*100</f>
        <v>52.333333333333329</v>
      </c>
      <c r="K18" s="15">
        <v>78243</v>
      </c>
      <c r="L18" s="15">
        <f>H18-70818</f>
        <v>-10818</v>
      </c>
      <c r="M18" s="15">
        <v>7425</v>
      </c>
      <c r="N18" s="30">
        <v>42.426406999999998</v>
      </c>
      <c r="O18" s="34">
        <v>100</v>
      </c>
      <c r="P18" s="39">
        <v>0.13800000000000001</v>
      </c>
      <c r="Q18" s="39">
        <v>0.13800000000000001</v>
      </c>
      <c r="R18" s="15">
        <f>L18/N18</f>
        <v>-254.9827045217381</v>
      </c>
      <c r="S18" s="15">
        <f>L18/P18</f>
        <v>-78391.304347826081</v>
      </c>
      <c r="T18" s="44">
        <f>L18/P18/43560</f>
        <v>-1.7996167205653371</v>
      </c>
      <c r="U18" s="39">
        <v>60</v>
      </c>
      <c r="V18" s="6" t="s">
        <v>30</v>
      </c>
      <c r="X18" t="s">
        <v>31</v>
      </c>
      <c r="Y18" s="7" t="s">
        <v>34</v>
      </c>
      <c r="Z18" t="s">
        <v>33</v>
      </c>
    </row>
    <row r="19" spans="1:26" x14ac:dyDescent="0.25">
      <c r="A19" t="s">
        <v>31</v>
      </c>
      <c r="B19" t="s">
        <v>101</v>
      </c>
      <c r="C19" t="s">
        <v>102</v>
      </c>
      <c r="D19" s="25">
        <v>45177</v>
      </c>
      <c r="E19" s="15">
        <v>80000</v>
      </c>
      <c r="F19" t="s">
        <v>41</v>
      </c>
      <c r="G19" t="s">
        <v>29</v>
      </c>
      <c r="H19" s="15">
        <v>80000</v>
      </c>
      <c r="I19" s="15">
        <v>36400</v>
      </c>
      <c r="J19" s="20">
        <f>I19/H19*100</f>
        <v>45.5</v>
      </c>
      <c r="K19" s="15">
        <v>91127</v>
      </c>
      <c r="L19" s="15">
        <f>H19-86334</f>
        <v>-6334</v>
      </c>
      <c r="M19" s="15">
        <v>4793</v>
      </c>
      <c r="N19" s="30">
        <v>27.386127999999999</v>
      </c>
      <c r="O19" s="34">
        <v>100</v>
      </c>
      <c r="P19" s="39">
        <v>5.7000000000000002E-2</v>
      </c>
      <c r="Q19" s="39">
        <v>5.7000000000000002E-2</v>
      </c>
      <c r="R19" s="15">
        <f>L19/N19</f>
        <v>-231.28497756236297</v>
      </c>
      <c r="S19" s="15">
        <f>L19/P19</f>
        <v>-111122.80701754386</v>
      </c>
      <c r="T19" s="44">
        <f>L19/P19/43560</f>
        <v>-2.5510286275836518</v>
      </c>
      <c r="U19" s="39">
        <v>25</v>
      </c>
      <c r="V19" s="6" t="s">
        <v>30</v>
      </c>
      <c r="X19" t="s">
        <v>31</v>
      </c>
      <c r="Y19" s="7" t="s">
        <v>34</v>
      </c>
      <c r="Z19" t="s">
        <v>33</v>
      </c>
    </row>
    <row r="20" spans="1:26" x14ac:dyDescent="0.25">
      <c r="A20" t="s">
        <v>31</v>
      </c>
      <c r="B20" t="s">
        <v>39</v>
      </c>
      <c r="C20" t="s">
        <v>40</v>
      </c>
      <c r="D20" s="25">
        <v>44839</v>
      </c>
      <c r="E20" s="15">
        <v>47000</v>
      </c>
      <c r="F20" t="s">
        <v>41</v>
      </c>
      <c r="G20" t="s">
        <v>29</v>
      </c>
      <c r="H20" s="15">
        <v>47000</v>
      </c>
      <c r="I20" s="15">
        <v>19500</v>
      </c>
      <c r="J20" s="20">
        <f>I20/H20*100</f>
        <v>41.48936170212766</v>
      </c>
      <c r="K20" s="15">
        <v>66357</v>
      </c>
      <c r="L20" s="15">
        <f>H20-57914</f>
        <v>-10914</v>
      </c>
      <c r="M20" s="15">
        <v>8443</v>
      </c>
      <c r="N20" s="30">
        <v>48.248159000000001</v>
      </c>
      <c r="O20" s="34">
        <v>87.040001000000004</v>
      </c>
      <c r="P20" s="39">
        <v>0.17799999999999999</v>
      </c>
      <c r="Q20" s="39">
        <v>0.17799999999999999</v>
      </c>
      <c r="R20" s="15">
        <f>L20/N20</f>
        <v>-226.20552216303216</v>
      </c>
      <c r="S20" s="15">
        <f>L20/P20</f>
        <v>-61314.606741573036</v>
      </c>
      <c r="T20" s="44">
        <f>L20/P20/43560</f>
        <v>-1.4075896864456621</v>
      </c>
      <c r="U20" s="39">
        <v>89.15</v>
      </c>
      <c r="V20" s="6" t="s">
        <v>30</v>
      </c>
      <c r="X20" t="s">
        <v>31</v>
      </c>
      <c r="Y20" s="7" t="s">
        <v>34</v>
      </c>
      <c r="Z20" t="s">
        <v>33</v>
      </c>
    </row>
    <row r="21" spans="1:26" x14ac:dyDescent="0.25">
      <c r="A21" t="s">
        <v>31</v>
      </c>
      <c r="B21" t="s">
        <v>198</v>
      </c>
      <c r="C21" t="s">
        <v>199</v>
      </c>
      <c r="D21" s="25">
        <v>45026</v>
      </c>
      <c r="E21" s="15">
        <v>65500</v>
      </c>
      <c r="F21" t="s">
        <v>41</v>
      </c>
      <c r="G21" t="s">
        <v>29</v>
      </c>
      <c r="H21" s="15">
        <v>65500</v>
      </c>
      <c r="I21" s="15">
        <v>31200</v>
      </c>
      <c r="J21" s="20">
        <f>I21/H21*100</f>
        <v>47.63358778625954</v>
      </c>
      <c r="K21" s="15">
        <v>80037</v>
      </c>
      <c r="L21" s="15">
        <f>H21-73678</f>
        <v>-8178</v>
      </c>
      <c r="M21" s="15">
        <v>6359</v>
      </c>
      <c r="N21" s="30">
        <v>36.338408999999999</v>
      </c>
      <c r="O21" s="34">
        <v>110.040001</v>
      </c>
      <c r="P21" s="39">
        <v>0.10100000000000001</v>
      </c>
      <c r="Q21" s="39">
        <v>0.10100000000000001</v>
      </c>
      <c r="R21" s="15">
        <f>L21/N21</f>
        <v>-225.05112978391543</v>
      </c>
      <c r="S21" s="15">
        <f>L21/P21</f>
        <v>-80970.297029702968</v>
      </c>
      <c r="T21" s="44">
        <f>L21/P21/43560</f>
        <v>-1.8588222458609496</v>
      </c>
      <c r="U21" s="39">
        <v>40</v>
      </c>
      <c r="V21" s="6" t="s">
        <v>30</v>
      </c>
      <c r="X21" t="s">
        <v>31</v>
      </c>
      <c r="Y21" s="7" t="s">
        <v>34</v>
      </c>
      <c r="Z21" t="s">
        <v>33</v>
      </c>
    </row>
    <row r="22" spans="1:26" x14ac:dyDescent="0.25">
      <c r="A22" t="s">
        <v>31</v>
      </c>
      <c r="B22" t="s">
        <v>75</v>
      </c>
      <c r="C22" t="s">
        <v>76</v>
      </c>
      <c r="D22" s="25">
        <v>45020</v>
      </c>
      <c r="E22" s="15">
        <v>38000</v>
      </c>
      <c r="F22" t="s">
        <v>25</v>
      </c>
      <c r="G22" t="s">
        <v>29</v>
      </c>
      <c r="H22" s="15">
        <v>38000</v>
      </c>
      <c r="I22" s="15">
        <v>19700</v>
      </c>
      <c r="J22" s="20">
        <f>I22/H22*100</f>
        <v>51.84210526315789</v>
      </c>
      <c r="K22" s="15">
        <v>49275</v>
      </c>
      <c r="L22" s="15">
        <f>H22-43938</f>
        <v>-5938</v>
      </c>
      <c r="M22" s="15">
        <v>5337</v>
      </c>
      <c r="N22" s="30">
        <v>30.495901</v>
      </c>
      <c r="O22" s="34">
        <v>100</v>
      </c>
      <c r="P22" s="39">
        <v>7.0999999999999994E-2</v>
      </c>
      <c r="Q22" s="39">
        <v>7.0999999999999994E-2</v>
      </c>
      <c r="R22" s="15">
        <f>L22/N22</f>
        <v>-194.71469296808118</v>
      </c>
      <c r="S22" s="15">
        <f>L22/P22</f>
        <v>-83633.802816901414</v>
      </c>
      <c r="T22" s="44">
        <f>L22/P22/43560</f>
        <v>-1.919967925089564</v>
      </c>
      <c r="U22" s="39">
        <v>31</v>
      </c>
      <c r="V22" s="6" t="s">
        <v>30</v>
      </c>
      <c r="X22" t="s">
        <v>31</v>
      </c>
      <c r="Y22" s="7" t="s">
        <v>34</v>
      </c>
      <c r="Z22" t="s">
        <v>33</v>
      </c>
    </row>
    <row r="23" spans="1:26" x14ac:dyDescent="0.25">
      <c r="A23" t="s">
        <v>31</v>
      </c>
      <c r="B23" t="s">
        <v>218</v>
      </c>
      <c r="C23" t="s">
        <v>219</v>
      </c>
      <c r="D23" s="25">
        <v>44700</v>
      </c>
      <c r="E23" s="15">
        <v>40000</v>
      </c>
      <c r="F23" t="s">
        <v>25</v>
      </c>
      <c r="G23" t="s">
        <v>29</v>
      </c>
      <c r="H23" s="15">
        <v>40000</v>
      </c>
      <c r="I23" s="15">
        <v>15500</v>
      </c>
      <c r="J23" s="20">
        <f>I23/H23*100</f>
        <v>38.75</v>
      </c>
      <c r="K23" s="15">
        <v>53176</v>
      </c>
      <c r="L23" s="15">
        <f>H23-46818</f>
        <v>-6818</v>
      </c>
      <c r="M23" s="15">
        <v>6358</v>
      </c>
      <c r="N23" s="30">
        <v>36.331803999999998</v>
      </c>
      <c r="O23" s="34">
        <v>110</v>
      </c>
      <c r="P23" s="39">
        <v>0.10100000000000001</v>
      </c>
      <c r="Q23" s="39">
        <v>0.10100000000000001</v>
      </c>
      <c r="R23" s="15">
        <f>L23/N23</f>
        <v>-187.65927505278847</v>
      </c>
      <c r="S23" s="15">
        <f>L23/P23</f>
        <v>-67504.950495049503</v>
      </c>
      <c r="T23" s="44">
        <f>L23/P23/43560</f>
        <v>-1.5497004245879133</v>
      </c>
      <c r="U23" s="39">
        <v>40</v>
      </c>
      <c r="V23" s="6" t="s">
        <v>30</v>
      </c>
      <c r="X23" t="s">
        <v>31</v>
      </c>
      <c r="Y23" s="7" t="s">
        <v>34</v>
      </c>
      <c r="Z23" t="s">
        <v>33</v>
      </c>
    </row>
    <row r="24" spans="1:26" x14ac:dyDescent="0.25">
      <c r="A24" t="s">
        <v>31</v>
      </c>
      <c r="B24" t="s">
        <v>220</v>
      </c>
      <c r="C24" t="s">
        <v>221</v>
      </c>
      <c r="D24" s="25">
        <v>45100</v>
      </c>
      <c r="E24" s="15">
        <v>75000</v>
      </c>
      <c r="F24" t="s">
        <v>25</v>
      </c>
      <c r="G24" t="s">
        <v>29</v>
      </c>
      <c r="H24" s="15">
        <v>75000</v>
      </c>
      <c r="I24" s="15">
        <v>36400</v>
      </c>
      <c r="J24" s="20">
        <f>I24/H24*100</f>
        <v>48.533333333333331</v>
      </c>
      <c r="K24" s="15">
        <v>91125</v>
      </c>
      <c r="L24" s="15">
        <f>H24-83337</f>
        <v>-8337</v>
      </c>
      <c r="M24" s="15">
        <v>7788</v>
      </c>
      <c r="N24" s="30">
        <v>44.505280999999997</v>
      </c>
      <c r="O24" s="34">
        <v>110.040001</v>
      </c>
      <c r="P24" s="39">
        <v>0.152</v>
      </c>
      <c r="Q24" s="39">
        <v>0.152</v>
      </c>
      <c r="R24" s="15">
        <f>L24/N24</f>
        <v>-187.32608384160073</v>
      </c>
      <c r="S24" s="15">
        <f>L24/P24</f>
        <v>-54848.68421052632</v>
      </c>
      <c r="T24" s="44">
        <f>L24/P24/43560</f>
        <v>-1.2591525300855446</v>
      </c>
      <c r="U24" s="39">
        <v>60</v>
      </c>
      <c r="V24" s="6" t="s">
        <v>30</v>
      </c>
      <c r="X24" t="s">
        <v>31</v>
      </c>
      <c r="Y24" s="7" t="s">
        <v>34</v>
      </c>
      <c r="Z24" t="s">
        <v>33</v>
      </c>
    </row>
    <row r="25" spans="1:26" x14ac:dyDescent="0.25">
      <c r="A25" t="s">
        <v>31</v>
      </c>
      <c r="B25" t="s">
        <v>63</v>
      </c>
      <c r="C25" t="s">
        <v>64</v>
      </c>
      <c r="D25" s="25">
        <v>44805</v>
      </c>
      <c r="E25" s="15">
        <v>43875</v>
      </c>
      <c r="F25" t="s">
        <v>25</v>
      </c>
      <c r="G25" t="s">
        <v>29</v>
      </c>
      <c r="H25" s="15">
        <v>43875</v>
      </c>
      <c r="I25" s="15">
        <v>16800</v>
      </c>
      <c r="J25" s="20">
        <f>I25/H25*100</f>
        <v>38.290598290598297</v>
      </c>
      <c r="K25" s="15">
        <v>55179</v>
      </c>
      <c r="L25" s="15">
        <f>H25-49673</f>
        <v>-5798</v>
      </c>
      <c r="M25" s="15">
        <v>5506</v>
      </c>
      <c r="N25" s="30">
        <v>31.464265000000001</v>
      </c>
      <c r="O25" s="34">
        <v>110</v>
      </c>
      <c r="P25" s="39">
        <v>7.5999999999999998E-2</v>
      </c>
      <c r="Q25" s="39">
        <v>7.5999999999999998E-2</v>
      </c>
      <c r="R25" s="15">
        <f>L25/N25</f>
        <v>-184.27253902164884</v>
      </c>
      <c r="S25" s="15">
        <f>L25/P25</f>
        <v>-76289.473684210534</v>
      </c>
      <c r="T25" s="44">
        <f>L25/P25/43560</f>
        <v>-1.751365327920352</v>
      </c>
      <c r="U25" s="39">
        <v>30</v>
      </c>
      <c r="V25" s="6" t="s">
        <v>30</v>
      </c>
      <c r="X25" t="s">
        <v>31</v>
      </c>
      <c r="Y25" s="7" t="s">
        <v>34</v>
      </c>
      <c r="Z25" t="s">
        <v>33</v>
      </c>
    </row>
    <row r="26" spans="1:26" x14ac:dyDescent="0.25">
      <c r="A26" t="s">
        <v>31</v>
      </c>
      <c r="B26" t="s">
        <v>156</v>
      </c>
      <c r="C26" t="s">
        <v>157</v>
      </c>
      <c r="D26" s="25">
        <v>44869</v>
      </c>
      <c r="E26" s="15">
        <v>75100</v>
      </c>
      <c r="F26" t="s">
        <v>25</v>
      </c>
      <c r="G26" t="s">
        <v>29</v>
      </c>
      <c r="H26" s="15">
        <v>75100</v>
      </c>
      <c r="I26" s="15">
        <v>27400</v>
      </c>
      <c r="J26" s="20">
        <f>I26/H26*100</f>
        <v>36.484687083888154</v>
      </c>
      <c r="K26" s="15">
        <v>88900</v>
      </c>
      <c r="L26" s="15">
        <f>H26-81475</f>
        <v>-6375</v>
      </c>
      <c r="M26" s="15">
        <v>7425</v>
      </c>
      <c r="N26" s="30">
        <v>42.426406999999998</v>
      </c>
      <c r="O26" s="34">
        <v>100</v>
      </c>
      <c r="P26" s="39">
        <v>0.13800000000000001</v>
      </c>
      <c r="Q26" s="39">
        <v>0.13800000000000001</v>
      </c>
      <c r="R26" s="15">
        <f>L26/N26</f>
        <v>-150.26019054594937</v>
      </c>
      <c r="S26" s="15">
        <f>L26/P26</f>
        <v>-46195.65217391304</v>
      </c>
      <c r="T26" s="44">
        <f>L26/P26/43560</f>
        <v>-1.0605062482532837</v>
      </c>
      <c r="U26" s="39">
        <v>60</v>
      </c>
      <c r="V26" s="6" t="s">
        <v>30</v>
      </c>
      <c r="X26" t="s">
        <v>31</v>
      </c>
      <c r="Y26" s="7" t="s">
        <v>34</v>
      </c>
      <c r="Z26" t="s">
        <v>33</v>
      </c>
    </row>
    <row r="27" spans="1:26" x14ac:dyDescent="0.25">
      <c r="A27" t="s">
        <v>31</v>
      </c>
      <c r="B27" t="s">
        <v>85</v>
      </c>
      <c r="C27" t="s">
        <v>86</v>
      </c>
      <c r="D27" s="25">
        <v>44749</v>
      </c>
      <c r="E27" s="15">
        <v>50000</v>
      </c>
      <c r="F27" t="s">
        <v>60</v>
      </c>
      <c r="G27" t="s">
        <v>29</v>
      </c>
      <c r="H27" s="15">
        <v>50000</v>
      </c>
      <c r="I27" s="15">
        <v>21200</v>
      </c>
      <c r="J27" s="20">
        <f>I27/H27*100</f>
        <v>42.4</v>
      </c>
      <c r="K27" s="15">
        <v>68323</v>
      </c>
      <c r="L27" s="15">
        <f>H27-57022</f>
        <v>-7022</v>
      </c>
      <c r="M27" s="15">
        <v>11301</v>
      </c>
      <c r="N27" s="30">
        <v>64.575536999999997</v>
      </c>
      <c r="O27" s="34">
        <v>100</v>
      </c>
      <c r="P27" s="39">
        <v>0.31900000000000001</v>
      </c>
      <c r="Q27" s="39">
        <v>0.31900000000000001</v>
      </c>
      <c r="R27" s="15">
        <f>L27/N27</f>
        <v>-108.74086885255016</v>
      </c>
      <c r="S27" s="15">
        <f>L27/P27</f>
        <v>-22012.539184952977</v>
      </c>
      <c r="T27" s="44">
        <f>L27/P27/43560</f>
        <v>-0.50533836512747876</v>
      </c>
      <c r="U27" s="39">
        <v>139</v>
      </c>
      <c r="V27" s="6" t="s">
        <v>30</v>
      </c>
      <c r="X27" t="s">
        <v>31</v>
      </c>
      <c r="Y27" s="7" t="s">
        <v>34</v>
      </c>
      <c r="Z27" t="s">
        <v>33</v>
      </c>
    </row>
    <row r="28" spans="1:26" x14ac:dyDescent="0.25">
      <c r="A28" t="s">
        <v>31</v>
      </c>
      <c r="B28" t="s">
        <v>138</v>
      </c>
      <c r="C28" t="s">
        <v>139</v>
      </c>
      <c r="D28" s="25">
        <v>45352</v>
      </c>
      <c r="E28" s="15">
        <v>65000</v>
      </c>
      <c r="F28" t="s">
        <v>41</v>
      </c>
      <c r="G28" t="s">
        <v>29</v>
      </c>
      <c r="H28" s="15">
        <v>65000</v>
      </c>
      <c r="I28" s="15">
        <v>30100</v>
      </c>
      <c r="J28" s="20">
        <f>I28/H28*100</f>
        <v>46.307692307692307</v>
      </c>
      <c r="K28" s="15">
        <v>75039</v>
      </c>
      <c r="L28" s="15">
        <f>H28-68609</f>
        <v>-3609</v>
      </c>
      <c r="M28" s="15">
        <v>6430</v>
      </c>
      <c r="N28" s="30">
        <v>36.742345999999998</v>
      </c>
      <c r="O28" s="34">
        <v>100</v>
      </c>
      <c r="P28" s="39">
        <v>0.10299999999999999</v>
      </c>
      <c r="Q28" s="39">
        <v>0.10299999999999999</v>
      </c>
      <c r="R28" s="15">
        <f>L28/N28</f>
        <v>-98.224539064544231</v>
      </c>
      <c r="S28" s="15">
        <f>L28/P28</f>
        <v>-35038.834951456316</v>
      </c>
      <c r="T28" s="44">
        <f>L28/P28/43560</f>
        <v>-0.80438096766428646</v>
      </c>
      <c r="U28" s="39">
        <v>45</v>
      </c>
      <c r="V28" s="6" t="s">
        <v>30</v>
      </c>
      <c r="X28" t="s">
        <v>31</v>
      </c>
      <c r="Y28" s="7" t="s">
        <v>34</v>
      </c>
      <c r="Z28" t="s">
        <v>33</v>
      </c>
    </row>
    <row r="29" spans="1:26" x14ac:dyDescent="0.25">
      <c r="A29" t="s">
        <v>31</v>
      </c>
      <c r="B29" t="s">
        <v>61</v>
      </c>
      <c r="C29" t="s">
        <v>62</v>
      </c>
      <c r="D29" s="25">
        <v>45040</v>
      </c>
      <c r="E29" s="15">
        <v>85000</v>
      </c>
      <c r="F29" t="s">
        <v>41</v>
      </c>
      <c r="G29" t="s">
        <v>29</v>
      </c>
      <c r="H29" s="15">
        <v>85000</v>
      </c>
      <c r="I29" s="15">
        <v>37700</v>
      </c>
      <c r="J29" s="20">
        <f>I29/H29*100</f>
        <v>44.352941176470587</v>
      </c>
      <c r="K29" s="15">
        <v>94078</v>
      </c>
      <c r="L29" s="15">
        <f>H29-88083</f>
        <v>-3083</v>
      </c>
      <c r="M29" s="15">
        <v>5995</v>
      </c>
      <c r="N29" s="30">
        <v>34.256093999999997</v>
      </c>
      <c r="O29" s="34">
        <v>111.760002</v>
      </c>
      <c r="P29" s="39">
        <v>0.09</v>
      </c>
      <c r="Q29" s="39">
        <v>0.09</v>
      </c>
      <c r="R29" s="15">
        <f>L29/N29</f>
        <v>-89.998585361191502</v>
      </c>
      <c r="S29" s="15">
        <f>L29/P29</f>
        <v>-34255.555555555555</v>
      </c>
      <c r="T29" s="44">
        <f>L29/P29/43560</f>
        <v>-0.78639934700540759</v>
      </c>
      <c r="U29" s="39">
        <v>35</v>
      </c>
      <c r="V29" s="6" t="s">
        <v>30</v>
      </c>
      <c r="X29" t="s">
        <v>31</v>
      </c>
      <c r="Y29" s="7" t="s">
        <v>34</v>
      </c>
      <c r="Z29" t="s">
        <v>33</v>
      </c>
    </row>
    <row r="30" spans="1:26" x14ac:dyDescent="0.25">
      <c r="A30" t="s">
        <v>31</v>
      </c>
      <c r="B30" t="s">
        <v>58</v>
      </c>
      <c r="C30" t="s">
        <v>59</v>
      </c>
      <c r="D30" s="25">
        <v>44984</v>
      </c>
      <c r="E30" s="15">
        <v>80000</v>
      </c>
      <c r="F30" t="s">
        <v>60</v>
      </c>
      <c r="G30" t="s">
        <v>29</v>
      </c>
      <c r="H30" s="15">
        <v>80000</v>
      </c>
      <c r="I30" s="15">
        <v>26800</v>
      </c>
      <c r="J30" s="20">
        <f>I30/H30*100</f>
        <v>33.5</v>
      </c>
      <c r="K30" s="15">
        <v>87731</v>
      </c>
      <c r="L30" s="15">
        <f>H30-82181</f>
        <v>-2181</v>
      </c>
      <c r="M30" s="15">
        <v>5550</v>
      </c>
      <c r="N30" s="30">
        <v>31.714981000000002</v>
      </c>
      <c r="O30" s="34">
        <v>111.760002</v>
      </c>
      <c r="P30" s="39">
        <v>7.6999999999999999E-2</v>
      </c>
      <c r="Q30" s="39">
        <v>7.6999999999999999E-2</v>
      </c>
      <c r="R30" s="15">
        <f>L30/N30</f>
        <v>-68.768762623568961</v>
      </c>
      <c r="S30" s="15">
        <f>L30/P30</f>
        <v>-28324.675324675325</v>
      </c>
      <c r="T30" s="44">
        <f>L30/P30/43560</f>
        <v>-0.6502450717326751</v>
      </c>
      <c r="U30" s="39">
        <v>30</v>
      </c>
      <c r="V30" s="6" t="s">
        <v>30</v>
      </c>
      <c r="X30" t="s">
        <v>31</v>
      </c>
      <c r="Y30" s="7" t="s">
        <v>34</v>
      </c>
      <c r="Z30" t="s">
        <v>33</v>
      </c>
    </row>
    <row r="31" spans="1:26" x14ac:dyDescent="0.25">
      <c r="A31" t="s">
        <v>31</v>
      </c>
      <c r="B31" t="s">
        <v>90</v>
      </c>
      <c r="C31" t="s">
        <v>91</v>
      </c>
      <c r="D31" s="25">
        <v>44763</v>
      </c>
      <c r="E31" s="15">
        <v>85500</v>
      </c>
      <c r="F31" t="s">
        <v>25</v>
      </c>
      <c r="G31" t="s">
        <v>29</v>
      </c>
      <c r="H31" s="15">
        <v>85500</v>
      </c>
      <c r="I31" s="15">
        <v>27800</v>
      </c>
      <c r="J31" s="20">
        <f>I31/H31*100</f>
        <v>32.514619883040936</v>
      </c>
      <c r="K31" s="15">
        <v>90796</v>
      </c>
      <c r="L31" s="15">
        <f>H31-83371</f>
        <v>2129</v>
      </c>
      <c r="M31" s="15">
        <v>7425</v>
      </c>
      <c r="N31" s="30">
        <v>42.426406999999998</v>
      </c>
      <c r="O31" s="34">
        <v>100</v>
      </c>
      <c r="P31" s="39">
        <v>0.13800000000000001</v>
      </c>
      <c r="Q31" s="39">
        <v>0.13800000000000001</v>
      </c>
      <c r="R31" s="15">
        <f>L31/N31</f>
        <v>50.18101108585509</v>
      </c>
      <c r="S31" s="15">
        <f>L31/P31</f>
        <v>15427.536231884056</v>
      </c>
      <c r="T31" s="44">
        <f>L31/P31/43560</f>
        <v>0.3541674984362731</v>
      </c>
      <c r="U31" s="39">
        <v>60</v>
      </c>
      <c r="V31" s="6" t="s">
        <v>30</v>
      </c>
      <c r="X31" t="s">
        <v>31</v>
      </c>
      <c r="Y31" s="7" t="s">
        <v>34</v>
      </c>
      <c r="Z31" t="s">
        <v>33</v>
      </c>
    </row>
    <row r="32" spans="1:26" x14ac:dyDescent="0.25">
      <c r="A32" t="s">
        <v>31</v>
      </c>
      <c r="B32" t="s">
        <v>158</v>
      </c>
      <c r="C32" t="s">
        <v>159</v>
      </c>
      <c r="D32" s="25">
        <v>45103</v>
      </c>
      <c r="E32" s="15">
        <v>78000</v>
      </c>
      <c r="F32" t="s">
        <v>41</v>
      </c>
      <c r="G32" t="s">
        <v>29</v>
      </c>
      <c r="H32" s="15">
        <v>78000</v>
      </c>
      <c r="I32" s="15">
        <v>32100</v>
      </c>
      <c r="J32" s="20">
        <f>I32/H32*100</f>
        <v>41.153846153846153</v>
      </c>
      <c r="K32" s="15">
        <v>80561</v>
      </c>
      <c r="L32" s="15">
        <f>H32-76058</f>
        <v>1942</v>
      </c>
      <c r="M32" s="15">
        <v>4503</v>
      </c>
      <c r="N32" s="30">
        <v>34.641016</v>
      </c>
      <c r="O32" s="34">
        <v>100</v>
      </c>
      <c r="P32" s="39">
        <v>9.1999999999999998E-2</v>
      </c>
      <c r="Q32" s="39">
        <v>9.1999999999999998E-2</v>
      </c>
      <c r="R32" s="15">
        <f>L32/N32</f>
        <v>56.060711383291988</v>
      </c>
      <c r="S32" s="15">
        <f>L32/P32</f>
        <v>21108.695652173912</v>
      </c>
      <c r="T32" s="44">
        <f>L32/P32/43560</f>
        <v>0.48458897273126522</v>
      </c>
      <c r="U32" s="39">
        <v>40</v>
      </c>
      <c r="V32" s="6" t="s">
        <v>30</v>
      </c>
      <c r="W32" t="s">
        <v>160</v>
      </c>
      <c r="X32" t="s">
        <v>31</v>
      </c>
      <c r="Y32" s="7" t="s">
        <v>34</v>
      </c>
      <c r="Z32" t="s">
        <v>33</v>
      </c>
    </row>
    <row r="33" spans="1:26" x14ac:dyDescent="0.25">
      <c r="A33" t="s">
        <v>31</v>
      </c>
      <c r="B33" t="s">
        <v>67</v>
      </c>
      <c r="C33" t="s">
        <v>68</v>
      </c>
      <c r="D33" s="25">
        <v>44687</v>
      </c>
      <c r="E33" s="15">
        <v>75000</v>
      </c>
      <c r="F33" t="s">
        <v>25</v>
      </c>
      <c r="G33" t="s">
        <v>29</v>
      </c>
      <c r="H33" s="15">
        <v>75000</v>
      </c>
      <c r="I33" s="15">
        <v>24300</v>
      </c>
      <c r="J33" s="20">
        <f>I33/H33*100</f>
        <v>32.4</v>
      </c>
      <c r="K33" s="15">
        <v>79322</v>
      </c>
      <c r="L33" s="15">
        <f>H33-72387</f>
        <v>2613</v>
      </c>
      <c r="M33" s="15">
        <v>6935</v>
      </c>
      <c r="N33" s="30">
        <v>39.627156999999997</v>
      </c>
      <c r="O33" s="34">
        <v>109.885002</v>
      </c>
      <c r="P33" s="39">
        <v>0.12</v>
      </c>
      <c r="Q33" s="39">
        <v>0.12</v>
      </c>
      <c r="R33" s="15">
        <f>L33/N33</f>
        <v>65.939628220111786</v>
      </c>
      <c r="S33" s="15">
        <f>L33/P33</f>
        <v>21775</v>
      </c>
      <c r="T33" s="44">
        <f>L33/P33/43560</f>
        <v>0.49988521579430673</v>
      </c>
      <c r="U33" s="39">
        <v>47.634999999999998</v>
      </c>
      <c r="V33" s="6" t="s">
        <v>30</v>
      </c>
      <c r="X33" t="s">
        <v>31</v>
      </c>
      <c r="Y33" s="7" t="s">
        <v>34</v>
      </c>
      <c r="Z33" t="s">
        <v>33</v>
      </c>
    </row>
    <row r="34" spans="1:26" x14ac:dyDescent="0.25">
      <c r="A34" t="s">
        <v>31</v>
      </c>
      <c r="B34" t="s">
        <v>119</v>
      </c>
      <c r="C34" t="s">
        <v>120</v>
      </c>
      <c r="D34" s="25">
        <v>44743</v>
      </c>
      <c r="E34" s="15">
        <v>62500</v>
      </c>
      <c r="F34" t="s">
        <v>25</v>
      </c>
      <c r="G34" t="s">
        <v>29</v>
      </c>
      <c r="H34" s="15">
        <v>62500</v>
      </c>
      <c r="I34" s="15">
        <v>20100</v>
      </c>
      <c r="J34" s="20">
        <f>I34/H34*100</f>
        <v>32.159999999999997</v>
      </c>
      <c r="K34" s="15">
        <v>65657</v>
      </c>
      <c r="L34" s="15">
        <f>H34-60151</f>
        <v>2349</v>
      </c>
      <c r="M34" s="15">
        <v>5506</v>
      </c>
      <c r="N34" s="30">
        <v>31.464265000000001</v>
      </c>
      <c r="O34" s="34">
        <v>110</v>
      </c>
      <c r="P34" s="39">
        <v>7.5999999999999998E-2</v>
      </c>
      <c r="Q34" s="39">
        <v>7.5999999999999998E-2</v>
      </c>
      <c r="R34" s="15">
        <f>L34/N34</f>
        <v>74.656121794041582</v>
      </c>
      <c r="S34" s="15">
        <f>L34/P34</f>
        <v>30907.894736842107</v>
      </c>
      <c r="T34" s="44">
        <f>L34/P34/43560</f>
        <v>0.70954762940408878</v>
      </c>
      <c r="U34" s="39">
        <v>30</v>
      </c>
      <c r="V34" s="6" t="s">
        <v>30</v>
      </c>
      <c r="X34" t="s">
        <v>31</v>
      </c>
      <c r="Y34" s="7" t="s">
        <v>34</v>
      </c>
      <c r="Z34" t="s">
        <v>33</v>
      </c>
    </row>
    <row r="35" spans="1:26" x14ac:dyDescent="0.25">
      <c r="A35" t="s">
        <v>31</v>
      </c>
      <c r="B35" t="s">
        <v>79</v>
      </c>
      <c r="C35" t="s">
        <v>80</v>
      </c>
      <c r="D35" s="25">
        <v>44705</v>
      </c>
      <c r="E35" s="15">
        <v>52000</v>
      </c>
      <c r="F35" t="s">
        <v>25</v>
      </c>
      <c r="G35" t="s">
        <v>29</v>
      </c>
      <c r="H35" s="15">
        <v>52000</v>
      </c>
      <c r="I35" s="15">
        <v>16800</v>
      </c>
      <c r="J35" s="20">
        <f>I35/H35*100</f>
        <v>32.307692307692307</v>
      </c>
      <c r="K35" s="15">
        <v>54738</v>
      </c>
      <c r="L35" s="15">
        <f>H35-49488</f>
        <v>2512</v>
      </c>
      <c r="M35" s="15">
        <v>5250</v>
      </c>
      <c r="N35" s="30">
        <v>30</v>
      </c>
      <c r="O35" s="34">
        <v>100</v>
      </c>
      <c r="P35" s="39">
        <v>6.9000000000000006E-2</v>
      </c>
      <c r="Q35" s="39">
        <v>6.9000000000000006E-2</v>
      </c>
      <c r="R35" s="15">
        <f>L35/N35</f>
        <v>83.733333333333334</v>
      </c>
      <c r="S35" s="15">
        <f>L35/P35</f>
        <v>36405.797101449272</v>
      </c>
      <c r="T35" s="44">
        <f>L35/P35/43560</f>
        <v>0.83576210058423495</v>
      </c>
      <c r="U35" s="39">
        <v>30</v>
      </c>
      <c r="V35" s="6" t="s">
        <v>30</v>
      </c>
      <c r="X35" t="s">
        <v>31</v>
      </c>
      <c r="Y35" s="7" t="s">
        <v>34</v>
      </c>
      <c r="Z35" t="s">
        <v>33</v>
      </c>
    </row>
    <row r="36" spans="1:26" x14ac:dyDescent="0.25">
      <c r="A36" t="s">
        <v>31</v>
      </c>
      <c r="B36" t="s">
        <v>179</v>
      </c>
      <c r="C36" t="s">
        <v>180</v>
      </c>
      <c r="D36" s="25">
        <v>44679</v>
      </c>
      <c r="E36" s="15">
        <v>57000</v>
      </c>
      <c r="F36" t="s">
        <v>41</v>
      </c>
      <c r="G36" t="s">
        <v>29</v>
      </c>
      <c r="H36" s="15">
        <v>57000</v>
      </c>
      <c r="I36" s="15">
        <v>18400</v>
      </c>
      <c r="J36" s="20">
        <f>I36/H36*100</f>
        <v>32.280701754385966</v>
      </c>
      <c r="K36" s="15">
        <v>59496</v>
      </c>
      <c r="L36" s="15">
        <f>H36-53989</f>
        <v>3011</v>
      </c>
      <c r="M36" s="15">
        <v>5507</v>
      </c>
      <c r="N36" s="30">
        <v>31.469985999999999</v>
      </c>
      <c r="O36" s="34">
        <v>110.040001</v>
      </c>
      <c r="P36" s="39">
        <v>7.5999999999999998E-2</v>
      </c>
      <c r="Q36" s="39">
        <v>7.5999999999999998E-2</v>
      </c>
      <c r="R36" s="15">
        <f>L36/N36</f>
        <v>95.678466460074063</v>
      </c>
      <c r="S36" s="15">
        <f>L36/P36</f>
        <v>39618.42105263158</v>
      </c>
      <c r="T36" s="44">
        <f>L36/P36/43560</f>
        <v>0.90951379826977918</v>
      </c>
      <c r="U36" s="39">
        <v>30</v>
      </c>
      <c r="V36" s="6" t="s">
        <v>30</v>
      </c>
      <c r="X36" t="s">
        <v>31</v>
      </c>
      <c r="Y36" s="7" t="s">
        <v>34</v>
      </c>
      <c r="Z36" t="s">
        <v>33</v>
      </c>
    </row>
    <row r="37" spans="1:26" x14ac:dyDescent="0.25">
      <c r="A37" t="s">
        <v>31</v>
      </c>
      <c r="B37" t="s">
        <v>87</v>
      </c>
      <c r="C37" t="s">
        <v>88</v>
      </c>
      <c r="D37" s="25">
        <v>44706</v>
      </c>
      <c r="E37" s="15">
        <v>25500</v>
      </c>
      <c r="F37" t="s">
        <v>41</v>
      </c>
      <c r="G37" t="s">
        <v>26</v>
      </c>
      <c r="H37" s="15">
        <v>25500</v>
      </c>
      <c r="I37" s="15">
        <v>9900</v>
      </c>
      <c r="J37" s="20">
        <f>I37/H37*100</f>
        <v>38.82352941176471</v>
      </c>
      <c r="K37" s="15">
        <v>26470</v>
      </c>
      <c r="L37" s="15">
        <f>H37-19645</f>
        <v>5855</v>
      </c>
      <c r="M37" s="15">
        <v>6825</v>
      </c>
      <c r="N37" s="30">
        <v>60</v>
      </c>
      <c r="O37" s="34">
        <v>200</v>
      </c>
      <c r="P37" s="39">
        <v>0.13800000000000001</v>
      </c>
      <c r="Q37" s="39">
        <v>6.9000000000000006E-2</v>
      </c>
      <c r="R37" s="15">
        <f>L37/N37</f>
        <v>97.583333333333329</v>
      </c>
      <c r="S37" s="15">
        <f>L37/P37</f>
        <v>42427.536231884056</v>
      </c>
      <c r="T37" s="44">
        <f>L37/P37/43560</f>
        <v>0.97400220918007474</v>
      </c>
      <c r="U37" s="39">
        <v>60</v>
      </c>
      <c r="V37" s="6" t="s">
        <v>30</v>
      </c>
      <c r="W37" t="s">
        <v>89</v>
      </c>
      <c r="X37" t="s">
        <v>31</v>
      </c>
      <c r="Y37" s="7" t="s">
        <v>34</v>
      </c>
      <c r="Z37" t="s">
        <v>33</v>
      </c>
    </row>
    <row r="38" spans="1:26" x14ac:dyDescent="0.25">
      <c r="A38" t="s">
        <v>31</v>
      </c>
      <c r="B38" t="s">
        <v>185</v>
      </c>
      <c r="C38" t="s">
        <v>186</v>
      </c>
      <c r="D38" s="25">
        <v>44790</v>
      </c>
      <c r="E38" s="15">
        <v>65000</v>
      </c>
      <c r="F38" t="s">
        <v>25</v>
      </c>
      <c r="G38" t="s">
        <v>29</v>
      </c>
      <c r="H38" s="15">
        <v>65000</v>
      </c>
      <c r="I38" s="15">
        <v>20200</v>
      </c>
      <c r="J38" s="20">
        <f>I38/H38*100</f>
        <v>31.076923076923073</v>
      </c>
      <c r="K38" s="15">
        <v>66173</v>
      </c>
      <c r="L38" s="15">
        <f>H38-60111</f>
        <v>4889</v>
      </c>
      <c r="M38" s="15">
        <v>6062</v>
      </c>
      <c r="N38" s="30">
        <v>34.641016</v>
      </c>
      <c r="O38" s="34">
        <v>100</v>
      </c>
      <c r="P38" s="39">
        <v>9.1999999999999998E-2</v>
      </c>
      <c r="Q38" s="39">
        <v>9.1999999999999998E-2</v>
      </c>
      <c r="R38" s="15">
        <f>L38/N38</f>
        <v>141.13327392014136</v>
      </c>
      <c r="S38" s="15">
        <f>L38/P38</f>
        <v>53141.304347826088</v>
      </c>
      <c r="T38" s="44">
        <f>L38/P38/43560</f>
        <v>1.2199564818141893</v>
      </c>
      <c r="U38" s="39">
        <v>40</v>
      </c>
      <c r="V38" s="6" t="s">
        <v>30</v>
      </c>
      <c r="X38" t="s">
        <v>31</v>
      </c>
      <c r="Y38" s="7" t="s">
        <v>34</v>
      </c>
      <c r="Z38" t="s">
        <v>33</v>
      </c>
    </row>
    <row r="39" spans="1:26" x14ac:dyDescent="0.25">
      <c r="A39" t="s">
        <v>31</v>
      </c>
      <c r="B39" t="s">
        <v>194</v>
      </c>
      <c r="C39" t="s">
        <v>195</v>
      </c>
      <c r="D39" s="25">
        <v>45114</v>
      </c>
      <c r="E39" s="15">
        <v>62500</v>
      </c>
      <c r="F39" t="s">
        <v>41</v>
      </c>
      <c r="G39" t="s">
        <v>29</v>
      </c>
      <c r="H39" s="15">
        <v>62500</v>
      </c>
      <c r="I39" s="15">
        <v>25300</v>
      </c>
      <c r="J39" s="20">
        <f>I39/H39*100</f>
        <v>40.479999999999997</v>
      </c>
      <c r="K39" s="15">
        <v>63532</v>
      </c>
      <c r="L39" s="15">
        <f>H39-56787</f>
        <v>5713</v>
      </c>
      <c r="M39" s="15">
        <v>6745</v>
      </c>
      <c r="N39" s="30">
        <v>38.542704000000001</v>
      </c>
      <c r="O39" s="34">
        <v>110.040001</v>
      </c>
      <c r="P39" s="39">
        <v>0.114</v>
      </c>
      <c r="Q39" s="39">
        <v>0.114</v>
      </c>
      <c r="R39" s="15">
        <f>L39/N39</f>
        <v>148.22519976802872</v>
      </c>
      <c r="S39" s="15">
        <f>L39/P39</f>
        <v>50114.035087719298</v>
      </c>
      <c r="T39" s="44">
        <f>L39/P39/43560</f>
        <v>1.1504599423259709</v>
      </c>
      <c r="U39" s="39">
        <v>45</v>
      </c>
      <c r="V39" s="6" t="s">
        <v>30</v>
      </c>
      <c r="X39" t="s">
        <v>31</v>
      </c>
      <c r="Y39" s="7" t="s">
        <v>34</v>
      </c>
      <c r="Z39" t="s">
        <v>33</v>
      </c>
    </row>
    <row r="40" spans="1:26" x14ac:dyDescent="0.25">
      <c r="A40" t="s">
        <v>31</v>
      </c>
      <c r="B40" t="s">
        <v>96</v>
      </c>
      <c r="C40" t="s">
        <v>97</v>
      </c>
      <c r="D40" s="25">
        <v>44957</v>
      </c>
      <c r="E40" s="15">
        <v>70000</v>
      </c>
      <c r="F40" t="s">
        <v>41</v>
      </c>
      <c r="G40" t="s">
        <v>26</v>
      </c>
      <c r="H40" s="15">
        <v>70000</v>
      </c>
      <c r="I40" s="15">
        <v>25700</v>
      </c>
      <c r="J40" s="20">
        <f>I40/H40*100</f>
        <v>36.714285714285715</v>
      </c>
      <c r="K40" s="15">
        <v>68551</v>
      </c>
      <c r="L40" s="15">
        <f>H40-60751</f>
        <v>9249</v>
      </c>
      <c r="M40" s="15">
        <v>7800</v>
      </c>
      <c r="N40" s="30">
        <v>60</v>
      </c>
      <c r="O40" s="34">
        <v>200</v>
      </c>
      <c r="P40" s="39">
        <v>0.13800000000000001</v>
      </c>
      <c r="Q40" s="39">
        <v>6.9000000000000006E-2</v>
      </c>
      <c r="R40" s="15">
        <f>L40/N40</f>
        <v>154.15</v>
      </c>
      <c r="S40" s="15">
        <f>L40/P40</f>
        <v>67021.739130434784</v>
      </c>
      <c r="T40" s="44">
        <f>L40/P40/43560</f>
        <v>1.5386074180540583</v>
      </c>
      <c r="U40" s="39">
        <v>60</v>
      </c>
      <c r="V40" s="6" t="s">
        <v>30</v>
      </c>
      <c r="W40" t="s">
        <v>98</v>
      </c>
      <c r="X40" t="s">
        <v>31</v>
      </c>
      <c r="Y40" s="7" t="s">
        <v>34</v>
      </c>
      <c r="Z40" t="s">
        <v>33</v>
      </c>
    </row>
    <row r="41" spans="1:26" x14ac:dyDescent="0.25">
      <c r="A41" t="s">
        <v>31</v>
      </c>
      <c r="B41" t="s">
        <v>117</v>
      </c>
      <c r="C41" t="s">
        <v>118</v>
      </c>
      <c r="D41" s="25">
        <v>44762</v>
      </c>
      <c r="E41" s="15">
        <v>53000</v>
      </c>
      <c r="F41" t="s">
        <v>25</v>
      </c>
      <c r="G41" t="s">
        <v>29</v>
      </c>
      <c r="H41" s="15">
        <v>53000</v>
      </c>
      <c r="I41" s="15">
        <v>16500</v>
      </c>
      <c r="J41" s="20">
        <f>I41/H41*100</f>
        <v>31.132075471698112</v>
      </c>
      <c r="K41" s="15">
        <v>53638</v>
      </c>
      <c r="L41" s="15">
        <f>H41-48132</f>
        <v>4868</v>
      </c>
      <c r="M41" s="15">
        <v>5506</v>
      </c>
      <c r="N41" s="30">
        <v>31.464265000000001</v>
      </c>
      <c r="O41" s="34">
        <v>110</v>
      </c>
      <c r="P41" s="39">
        <v>7.5999999999999998E-2</v>
      </c>
      <c r="Q41" s="39">
        <v>7.5999999999999998E-2</v>
      </c>
      <c r="R41" s="15">
        <f>L41/N41</f>
        <v>154.71519833690695</v>
      </c>
      <c r="S41" s="15">
        <f>L41/P41</f>
        <v>64052.631578947367</v>
      </c>
      <c r="T41" s="44">
        <f>L41/P41/43560</f>
        <v>1.470446087670968</v>
      </c>
      <c r="U41" s="39">
        <v>30</v>
      </c>
      <c r="V41" s="6" t="s">
        <v>30</v>
      </c>
      <c r="X41" t="s">
        <v>31</v>
      </c>
      <c r="Y41" s="7" t="s">
        <v>34</v>
      </c>
      <c r="Z41" t="s">
        <v>33</v>
      </c>
    </row>
    <row r="42" spans="1:26" x14ac:dyDescent="0.25">
      <c r="A42" t="s">
        <v>31</v>
      </c>
      <c r="B42" t="s">
        <v>130</v>
      </c>
      <c r="C42" t="s">
        <v>131</v>
      </c>
      <c r="D42" s="25">
        <v>44851</v>
      </c>
      <c r="E42" s="15">
        <v>70500</v>
      </c>
      <c r="F42" t="s">
        <v>25</v>
      </c>
      <c r="G42" t="s">
        <v>29</v>
      </c>
      <c r="H42" s="15">
        <v>70500</v>
      </c>
      <c r="I42" s="15">
        <v>21900</v>
      </c>
      <c r="J42" s="20">
        <f>I42/H42*100</f>
        <v>31.063829787234042</v>
      </c>
      <c r="K42" s="15">
        <v>70567</v>
      </c>
      <c r="L42" s="15">
        <f>H42-64896</f>
        <v>5604</v>
      </c>
      <c r="M42" s="15">
        <v>5671</v>
      </c>
      <c r="N42" s="30">
        <v>32.403703</v>
      </c>
      <c r="O42" s="34">
        <v>100</v>
      </c>
      <c r="P42" s="39">
        <v>0.08</v>
      </c>
      <c r="Q42" s="39">
        <v>0.08</v>
      </c>
      <c r="R42" s="15">
        <f>L42/N42</f>
        <v>172.94319726359669</v>
      </c>
      <c r="S42" s="15">
        <f>L42/P42</f>
        <v>70050</v>
      </c>
      <c r="T42" s="44">
        <f>L42/P42/43560</f>
        <v>1.6081267217630855</v>
      </c>
      <c r="U42" s="39">
        <v>35</v>
      </c>
      <c r="V42" s="6" t="s">
        <v>30</v>
      </c>
      <c r="X42" t="s">
        <v>31</v>
      </c>
      <c r="Y42" s="7" t="s">
        <v>34</v>
      </c>
      <c r="Z42" t="s">
        <v>33</v>
      </c>
    </row>
    <row r="43" spans="1:26" x14ac:dyDescent="0.25">
      <c r="A43" t="s">
        <v>31</v>
      </c>
      <c r="B43" t="s">
        <v>169</v>
      </c>
      <c r="C43" t="s">
        <v>170</v>
      </c>
      <c r="D43" s="25">
        <v>44721</v>
      </c>
      <c r="E43" s="15">
        <v>70000</v>
      </c>
      <c r="F43" t="s">
        <v>25</v>
      </c>
      <c r="G43" t="s">
        <v>26</v>
      </c>
      <c r="H43" s="15">
        <v>70000</v>
      </c>
      <c r="I43" s="15">
        <v>25300</v>
      </c>
      <c r="J43" s="20">
        <f>I43/H43*100</f>
        <v>36.142857142857146</v>
      </c>
      <c r="K43" s="15">
        <v>66668</v>
      </c>
      <c r="L43" s="15">
        <f>H43-57991</f>
        <v>12009</v>
      </c>
      <c r="M43" s="15">
        <v>8677</v>
      </c>
      <c r="N43" s="30">
        <v>66.742345999999998</v>
      </c>
      <c r="O43" s="34">
        <v>200</v>
      </c>
      <c r="P43" s="39">
        <v>0.17199999999999999</v>
      </c>
      <c r="Q43" s="39">
        <v>0.10299999999999999</v>
      </c>
      <c r="R43" s="15">
        <f>L43/N43</f>
        <v>179.93074441824385</v>
      </c>
      <c r="S43" s="15">
        <f>L43/P43</f>
        <v>69819.767441860473</v>
      </c>
      <c r="T43" s="44">
        <f>L43/P43/43560</f>
        <v>1.6028413095009291</v>
      </c>
      <c r="U43" s="39">
        <v>75</v>
      </c>
      <c r="V43" s="6" t="s">
        <v>30</v>
      </c>
      <c r="W43" t="s">
        <v>171</v>
      </c>
      <c r="X43" t="s">
        <v>31</v>
      </c>
      <c r="Y43" s="7" t="s">
        <v>34</v>
      </c>
      <c r="Z43" t="s">
        <v>33</v>
      </c>
    </row>
    <row r="44" spans="1:26" x14ac:dyDescent="0.25">
      <c r="A44" t="s">
        <v>31</v>
      </c>
      <c r="B44" t="s">
        <v>134</v>
      </c>
      <c r="C44" t="s">
        <v>135</v>
      </c>
      <c r="D44" s="25">
        <v>44732</v>
      </c>
      <c r="E44" s="15">
        <v>98000</v>
      </c>
      <c r="F44" t="s">
        <v>25</v>
      </c>
      <c r="G44" t="s">
        <v>29</v>
      </c>
      <c r="H44" s="15">
        <v>98000</v>
      </c>
      <c r="I44" s="15">
        <v>30400</v>
      </c>
      <c r="J44" s="20">
        <f>I44/H44*100</f>
        <v>31.020408163265305</v>
      </c>
      <c r="K44" s="15">
        <v>97826</v>
      </c>
      <c r="L44" s="15">
        <f>H44-92576</f>
        <v>5424</v>
      </c>
      <c r="M44" s="15">
        <v>5250</v>
      </c>
      <c r="N44" s="30">
        <v>30</v>
      </c>
      <c r="O44" s="34">
        <v>100</v>
      </c>
      <c r="P44" s="39">
        <v>6.9000000000000006E-2</v>
      </c>
      <c r="Q44" s="39">
        <v>6.9000000000000006E-2</v>
      </c>
      <c r="R44" s="15">
        <f>L44/N44</f>
        <v>180.8</v>
      </c>
      <c r="S44" s="15">
        <f>L44/P44</f>
        <v>78608.695652173905</v>
      </c>
      <c r="T44" s="44">
        <f>L44/P44/43560</f>
        <v>1.8046073382041761</v>
      </c>
      <c r="U44" s="39">
        <v>30</v>
      </c>
      <c r="V44" s="6" t="s">
        <v>30</v>
      </c>
      <c r="X44" t="s">
        <v>31</v>
      </c>
      <c r="Y44" s="7" t="s">
        <v>34</v>
      </c>
      <c r="Z44" t="s">
        <v>33</v>
      </c>
    </row>
    <row r="45" spans="1:26" x14ac:dyDescent="0.25">
      <c r="A45" t="s">
        <v>31</v>
      </c>
      <c r="B45" t="s">
        <v>172</v>
      </c>
      <c r="C45" t="s">
        <v>173</v>
      </c>
      <c r="D45" s="25">
        <v>44727</v>
      </c>
      <c r="E45" s="15">
        <v>68500</v>
      </c>
      <c r="F45" t="s">
        <v>25</v>
      </c>
      <c r="G45" t="s">
        <v>26</v>
      </c>
      <c r="H45" s="15">
        <v>68500</v>
      </c>
      <c r="I45" s="15">
        <v>25500</v>
      </c>
      <c r="J45" s="20">
        <f>I45/H45*100</f>
        <v>37.226277372262771</v>
      </c>
      <c r="K45" s="15">
        <v>63444</v>
      </c>
      <c r="L45" s="15">
        <f>H45-50662</f>
        <v>17838</v>
      </c>
      <c r="M45" s="15">
        <v>12782</v>
      </c>
      <c r="N45" s="30">
        <v>98.324927000000002</v>
      </c>
      <c r="O45" s="34">
        <v>300</v>
      </c>
      <c r="P45" s="39">
        <v>0.24199999999999999</v>
      </c>
      <c r="Q45" s="39">
        <v>6.9000000000000006E-2</v>
      </c>
      <c r="R45" s="15">
        <f>L45/N45</f>
        <v>181.41889899394485</v>
      </c>
      <c r="S45" s="15">
        <f>L45/P45</f>
        <v>73710.74380165289</v>
      </c>
      <c r="T45" s="44">
        <f>L45/P45/43560</f>
        <v>1.6921658356669627</v>
      </c>
      <c r="U45" s="39">
        <v>115.88</v>
      </c>
      <c r="V45" s="6" t="s">
        <v>30</v>
      </c>
      <c r="W45" t="s">
        <v>174</v>
      </c>
      <c r="X45" t="s">
        <v>31</v>
      </c>
      <c r="Y45" s="7" t="s">
        <v>34</v>
      </c>
      <c r="Z45" t="s">
        <v>33</v>
      </c>
    </row>
    <row r="46" spans="1:26" x14ac:dyDescent="0.25">
      <c r="A46" t="s">
        <v>31</v>
      </c>
      <c r="B46" t="s">
        <v>65</v>
      </c>
      <c r="C46" t="s">
        <v>66</v>
      </c>
      <c r="D46" s="25">
        <v>44946</v>
      </c>
      <c r="E46" s="15">
        <v>10500</v>
      </c>
      <c r="F46" t="s">
        <v>41</v>
      </c>
      <c r="G46" t="s">
        <v>26</v>
      </c>
      <c r="H46" s="15">
        <v>10500</v>
      </c>
      <c r="I46" s="15">
        <v>2700</v>
      </c>
      <c r="J46" s="20">
        <f>I46/H46*100</f>
        <v>25.714285714285712</v>
      </c>
      <c r="K46" s="15">
        <v>7815</v>
      </c>
      <c r="L46" s="15">
        <f>H46-0</f>
        <v>10500</v>
      </c>
      <c r="M46" s="15">
        <v>7815</v>
      </c>
      <c r="N46" s="30">
        <v>44.655346999999999</v>
      </c>
      <c r="O46" s="34">
        <v>132.94000199999999</v>
      </c>
      <c r="P46" s="39">
        <v>0.153</v>
      </c>
      <c r="Q46" s="39">
        <v>0.153</v>
      </c>
      <c r="R46" s="15">
        <f>L46/N46</f>
        <v>235.13421584205807</v>
      </c>
      <c r="S46" s="15">
        <f>L46/P46</f>
        <v>68627.450980392154</v>
      </c>
      <c r="T46" s="44">
        <f>L46/P46/43560</f>
        <v>1.5754694899079924</v>
      </c>
      <c r="U46" s="39">
        <v>50</v>
      </c>
      <c r="V46" s="6" t="s">
        <v>30</v>
      </c>
      <c r="X46" t="s">
        <v>31</v>
      </c>
      <c r="Y46" s="7" t="s">
        <v>32</v>
      </c>
      <c r="Z46" t="s">
        <v>33</v>
      </c>
    </row>
    <row r="47" spans="1:26" x14ac:dyDescent="0.25">
      <c r="A47" t="s">
        <v>31</v>
      </c>
      <c r="B47" t="s">
        <v>109</v>
      </c>
      <c r="C47" t="s">
        <v>110</v>
      </c>
      <c r="D47" s="25">
        <v>44887</v>
      </c>
      <c r="E47" s="15">
        <v>71000</v>
      </c>
      <c r="F47" t="s">
        <v>25</v>
      </c>
      <c r="G47" t="s">
        <v>29</v>
      </c>
      <c r="H47" s="15">
        <v>71000</v>
      </c>
      <c r="I47" s="15">
        <v>21000</v>
      </c>
      <c r="J47" s="20">
        <f>I47/H47*100</f>
        <v>29.577464788732392</v>
      </c>
      <c r="K47" s="15">
        <v>68795</v>
      </c>
      <c r="L47" s="15">
        <f>H47-63289</f>
        <v>7711</v>
      </c>
      <c r="M47" s="15">
        <v>5506</v>
      </c>
      <c r="N47" s="30">
        <v>31.464265000000001</v>
      </c>
      <c r="O47" s="34">
        <v>110</v>
      </c>
      <c r="P47" s="39">
        <v>7.5999999999999998E-2</v>
      </c>
      <c r="Q47" s="39">
        <v>7.5999999999999998E-2</v>
      </c>
      <c r="R47" s="15">
        <f>L47/N47</f>
        <v>245.07167098929531</v>
      </c>
      <c r="S47" s="15">
        <f>L47/P47</f>
        <v>101460.52631578948</v>
      </c>
      <c r="T47" s="44">
        <f>L47/P47/43560</f>
        <v>2.3292131844763424</v>
      </c>
      <c r="U47" s="39">
        <v>30</v>
      </c>
      <c r="V47" s="6" t="s">
        <v>30</v>
      </c>
      <c r="X47" t="s">
        <v>31</v>
      </c>
      <c r="Y47" s="7" t="s">
        <v>34</v>
      </c>
      <c r="Z47" t="s">
        <v>33</v>
      </c>
    </row>
    <row r="48" spans="1:26" x14ac:dyDescent="0.25">
      <c r="A48" t="s">
        <v>31</v>
      </c>
      <c r="B48" t="s">
        <v>85</v>
      </c>
      <c r="C48" t="s">
        <v>86</v>
      </c>
      <c r="D48" s="25">
        <v>45141</v>
      </c>
      <c r="E48" s="15">
        <v>73500</v>
      </c>
      <c r="F48" t="s">
        <v>25</v>
      </c>
      <c r="G48" t="s">
        <v>29</v>
      </c>
      <c r="H48" s="15">
        <v>73500</v>
      </c>
      <c r="I48" s="15">
        <v>27200</v>
      </c>
      <c r="J48" s="20">
        <f>I48/H48*100</f>
        <v>37.006802721088434</v>
      </c>
      <c r="K48" s="15">
        <v>68323</v>
      </c>
      <c r="L48" s="15">
        <f>H48-57022</f>
        <v>16478</v>
      </c>
      <c r="M48" s="15">
        <v>11301</v>
      </c>
      <c r="N48" s="30">
        <v>64.575536999999997</v>
      </c>
      <c r="O48" s="34">
        <v>100</v>
      </c>
      <c r="P48" s="39">
        <v>0.31900000000000001</v>
      </c>
      <c r="Q48" s="39">
        <v>0.31900000000000001</v>
      </c>
      <c r="R48" s="15">
        <f>L48/N48</f>
        <v>255.17402975681023</v>
      </c>
      <c r="S48" s="15">
        <f>L48/P48</f>
        <v>51655.172413793101</v>
      </c>
      <c r="T48" s="44">
        <f>L48/P48/43560</f>
        <v>1.1858395870935055</v>
      </c>
      <c r="U48" s="39">
        <v>139</v>
      </c>
      <c r="V48" s="6" t="s">
        <v>30</v>
      </c>
      <c r="X48" t="s">
        <v>31</v>
      </c>
      <c r="Y48" s="7" t="s">
        <v>34</v>
      </c>
      <c r="Z48" t="s">
        <v>33</v>
      </c>
    </row>
    <row r="49" spans="1:26" x14ac:dyDescent="0.25">
      <c r="A49" t="s">
        <v>31</v>
      </c>
      <c r="B49" t="s">
        <v>54</v>
      </c>
      <c r="C49" t="s">
        <v>55</v>
      </c>
      <c r="D49" s="25">
        <v>44756</v>
      </c>
      <c r="E49" s="15">
        <v>72000</v>
      </c>
      <c r="F49" t="s">
        <v>25</v>
      </c>
      <c r="G49" t="s">
        <v>29</v>
      </c>
      <c r="H49" s="15">
        <v>72000</v>
      </c>
      <c r="I49" s="15">
        <v>19900</v>
      </c>
      <c r="J49" s="20">
        <f>I49/H49*100</f>
        <v>27.638888888888889</v>
      </c>
      <c r="K49" s="15">
        <v>68286</v>
      </c>
      <c r="L49" s="15">
        <f>H49-62776</f>
        <v>9224</v>
      </c>
      <c r="M49" s="15">
        <v>5510</v>
      </c>
      <c r="N49" s="30">
        <v>31.485710999999998</v>
      </c>
      <c r="O49" s="34">
        <v>110.150002</v>
      </c>
      <c r="P49" s="39">
        <v>7.5999999999999998E-2</v>
      </c>
      <c r="Q49" s="39">
        <v>7.5999999999999998E-2</v>
      </c>
      <c r="R49" s="15">
        <f>L49/N49</f>
        <v>292.95828828512083</v>
      </c>
      <c r="S49" s="15">
        <f>L49/P49</f>
        <v>121368.42105263159</v>
      </c>
      <c r="T49" s="44">
        <f>L49/P49/43560</f>
        <v>2.7862355613551788</v>
      </c>
      <c r="U49" s="39">
        <v>30</v>
      </c>
      <c r="V49" s="6" t="s">
        <v>30</v>
      </c>
      <c r="X49" t="s">
        <v>31</v>
      </c>
      <c r="Y49" s="7" t="s">
        <v>34</v>
      </c>
      <c r="Z49" t="s">
        <v>33</v>
      </c>
    </row>
    <row r="50" spans="1:26" x14ac:dyDescent="0.25">
      <c r="A50" t="s">
        <v>31</v>
      </c>
      <c r="B50" t="s">
        <v>181</v>
      </c>
      <c r="C50" t="s">
        <v>182</v>
      </c>
      <c r="D50" s="25">
        <v>45161</v>
      </c>
      <c r="E50" s="15">
        <v>64500</v>
      </c>
      <c r="F50" t="s">
        <v>41</v>
      </c>
      <c r="G50" t="s">
        <v>29</v>
      </c>
      <c r="H50" s="15">
        <v>64500</v>
      </c>
      <c r="I50" s="15">
        <v>23400</v>
      </c>
      <c r="J50" s="20">
        <f>I50/H50*100</f>
        <v>36.279069767441861</v>
      </c>
      <c r="K50" s="15">
        <v>60566</v>
      </c>
      <c r="L50" s="15">
        <f>H50-55059</f>
        <v>9441</v>
      </c>
      <c r="M50" s="15">
        <v>5507</v>
      </c>
      <c r="N50" s="30">
        <v>31.469985999999999</v>
      </c>
      <c r="O50" s="34">
        <v>110.040001</v>
      </c>
      <c r="P50" s="39">
        <v>7.5999999999999998E-2</v>
      </c>
      <c r="Q50" s="39">
        <v>7.5999999999999998E-2</v>
      </c>
      <c r="R50" s="15">
        <f>L50/N50</f>
        <v>300.00013346049792</v>
      </c>
      <c r="S50" s="15">
        <f>L50/P50</f>
        <v>124223.68421052632</v>
      </c>
      <c r="T50" s="44">
        <f>L50/P50/43560</f>
        <v>2.8517833840800351</v>
      </c>
      <c r="U50" s="39">
        <v>30</v>
      </c>
      <c r="V50" s="6" t="s">
        <v>30</v>
      </c>
      <c r="X50" t="s">
        <v>31</v>
      </c>
      <c r="Y50" s="7" t="s">
        <v>34</v>
      </c>
      <c r="Z50" t="s">
        <v>33</v>
      </c>
    </row>
    <row r="51" spans="1:26" x14ac:dyDescent="0.25">
      <c r="A51" t="s">
        <v>31</v>
      </c>
      <c r="B51" t="s">
        <v>77</v>
      </c>
      <c r="C51" t="s">
        <v>78</v>
      </c>
      <c r="D51" s="25">
        <v>45051</v>
      </c>
      <c r="E51" s="15">
        <v>58000</v>
      </c>
      <c r="F51" t="s">
        <v>25</v>
      </c>
      <c r="G51" t="s">
        <v>29</v>
      </c>
      <c r="H51" s="15">
        <v>58000</v>
      </c>
      <c r="I51" s="15">
        <v>21500</v>
      </c>
      <c r="J51" s="20">
        <f>I51/H51*100</f>
        <v>37.068965517241381</v>
      </c>
      <c r="K51" s="15">
        <v>54009</v>
      </c>
      <c r="L51" s="15">
        <f>H51-48759</f>
        <v>9241</v>
      </c>
      <c r="M51" s="15">
        <v>5250</v>
      </c>
      <c r="N51" s="30">
        <v>30</v>
      </c>
      <c r="O51" s="34">
        <v>100</v>
      </c>
      <c r="P51" s="39">
        <v>6.9000000000000006E-2</v>
      </c>
      <c r="Q51" s="39">
        <v>6.9000000000000006E-2</v>
      </c>
      <c r="R51" s="15">
        <f>L51/N51</f>
        <v>308.03333333333336</v>
      </c>
      <c r="S51" s="15">
        <f>L51/P51</f>
        <v>133927.53623188403</v>
      </c>
      <c r="T51" s="44">
        <f>L51/P51/43560</f>
        <v>3.0745531733674021</v>
      </c>
      <c r="U51" s="39">
        <v>30</v>
      </c>
      <c r="V51" s="6" t="s">
        <v>30</v>
      </c>
      <c r="X51" t="s">
        <v>31</v>
      </c>
      <c r="Y51" s="7" t="s">
        <v>34</v>
      </c>
      <c r="Z51" t="s">
        <v>33</v>
      </c>
    </row>
    <row r="52" spans="1:26" x14ac:dyDescent="0.25">
      <c r="A52" t="s">
        <v>31</v>
      </c>
      <c r="B52" t="s">
        <v>115</v>
      </c>
      <c r="C52" t="s">
        <v>116</v>
      </c>
      <c r="D52" s="25">
        <v>44987</v>
      </c>
      <c r="E52" s="15">
        <v>65000</v>
      </c>
      <c r="F52" t="s">
        <v>25</v>
      </c>
      <c r="G52" t="s">
        <v>29</v>
      </c>
      <c r="H52" s="15">
        <v>65000</v>
      </c>
      <c r="I52" s="15">
        <v>18400</v>
      </c>
      <c r="J52" s="20">
        <f>I52/H52*100</f>
        <v>28.307692307692307</v>
      </c>
      <c r="K52" s="15">
        <v>59575</v>
      </c>
      <c r="L52" s="15">
        <f>H52-54069</f>
        <v>10931</v>
      </c>
      <c r="M52" s="15">
        <v>5506</v>
      </c>
      <c r="N52" s="30">
        <v>31.464265000000001</v>
      </c>
      <c r="O52" s="34">
        <v>110</v>
      </c>
      <c r="P52" s="39">
        <v>7.5999999999999998E-2</v>
      </c>
      <c r="Q52" s="39">
        <v>7.5999999999999998E-2</v>
      </c>
      <c r="R52" s="15">
        <f>L52/N52</f>
        <v>347.40999034936937</v>
      </c>
      <c r="S52" s="15">
        <f>L52/P52</f>
        <v>143828.94736842107</v>
      </c>
      <c r="T52" s="44">
        <f>L52/P52/43560</f>
        <v>3.3018582958774352</v>
      </c>
      <c r="U52" s="39">
        <v>30</v>
      </c>
      <c r="V52" s="6" t="s">
        <v>30</v>
      </c>
      <c r="X52" t="s">
        <v>31</v>
      </c>
      <c r="Y52" s="7" t="s">
        <v>34</v>
      </c>
      <c r="Z52" t="s">
        <v>33</v>
      </c>
    </row>
    <row r="53" spans="1:26" x14ac:dyDescent="0.25">
      <c r="A53" t="s">
        <v>31</v>
      </c>
      <c r="B53" t="s">
        <v>214</v>
      </c>
      <c r="C53" t="s">
        <v>215</v>
      </c>
      <c r="D53" s="25">
        <v>45300</v>
      </c>
      <c r="E53" s="15">
        <v>65000</v>
      </c>
      <c r="F53" t="s">
        <v>25</v>
      </c>
      <c r="G53" t="s">
        <v>29</v>
      </c>
      <c r="H53" s="15">
        <v>65000</v>
      </c>
      <c r="I53" s="15">
        <v>23300</v>
      </c>
      <c r="J53" s="20">
        <f>I53/H53*100</f>
        <v>35.846153846153847</v>
      </c>
      <c r="K53" s="15">
        <v>58321</v>
      </c>
      <c r="L53" s="15">
        <f>H53-52043</f>
        <v>12957</v>
      </c>
      <c r="M53" s="15">
        <v>6278</v>
      </c>
      <c r="N53" s="30">
        <v>35.874782000000003</v>
      </c>
      <c r="O53" s="34">
        <v>110</v>
      </c>
      <c r="P53" s="39">
        <v>9.8000000000000004E-2</v>
      </c>
      <c r="Q53" s="39">
        <v>9.8000000000000004E-2</v>
      </c>
      <c r="R53" s="15">
        <f>L53/N53</f>
        <v>361.17292643060517</v>
      </c>
      <c r="S53" s="15">
        <f>L53/P53</f>
        <v>132214.28571428571</v>
      </c>
      <c r="T53" s="44">
        <f>L53/P53/43560</f>
        <v>3.0352223534041713</v>
      </c>
      <c r="U53" s="39">
        <v>39</v>
      </c>
      <c r="V53" s="6" t="s">
        <v>30</v>
      </c>
      <c r="X53" t="s">
        <v>31</v>
      </c>
      <c r="Y53" s="7" t="s">
        <v>34</v>
      </c>
      <c r="Z53" t="s">
        <v>33</v>
      </c>
    </row>
    <row r="54" spans="1:26" x14ac:dyDescent="0.25">
      <c r="A54" t="s">
        <v>31</v>
      </c>
      <c r="B54" t="s">
        <v>121</v>
      </c>
      <c r="C54" t="s">
        <v>122</v>
      </c>
      <c r="D54" s="25">
        <v>45121</v>
      </c>
      <c r="E54" s="15">
        <v>75000</v>
      </c>
      <c r="F54" t="s">
        <v>41</v>
      </c>
      <c r="G54" t="s">
        <v>29</v>
      </c>
      <c r="H54" s="15">
        <v>75000</v>
      </c>
      <c r="I54" s="15">
        <v>26300</v>
      </c>
      <c r="J54" s="20">
        <f>I54/H54*100</f>
        <v>35.06666666666667</v>
      </c>
      <c r="K54" s="15">
        <v>68169</v>
      </c>
      <c r="L54" s="15">
        <f>H54-62663</f>
        <v>12337</v>
      </c>
      <c r="M54" s="15">
        <v>5506</v>
      </c>
      <c r="N54" s="30">
        <v>31.464265000000001</v>
      </c>
      <c r="O54" s="34">
        <v>110</v>
      </c>
      <c r="P54" s="39">
        <v>7.5999999999999998E-2</v>
      </c>
      <c r="Q54" s="39">
        <v>7.5999999999999998E-2</v>
      </c>
      <c r="R54" s="15">
        <f>L54/N54</f>
        <v>392.09560433081782</v>
      </c>
      <c r="S54" s="15">
        <f>L54/P54</f>
        <v>162328.94736842107</v>
      </c>
      <c r="T54" s="44">
        <f>L54/P54/43560</f>
        <v>3.7265598569426324</v>
      </c>
      <c r="U54" s="39">
        <v>30</v>
      </c>
      <c r="V54" s="6" t="s">
        <v>30</v>
      </c>
      <c r="X54" t="s">
        <v>31</v>
      </c>
      <c r="Y54" s="7" t="s">
        <v>34</v>
      </c>
      <c r="Z54" t="s">
        <v>33</v>
      </c>
    </row>
    <row r="55" spans="1:26" x14ac:dyDescent="0.25">
      <c r="A55" t="s">
        <v>31</v>
      </c>
      <c r="B55" t="s">
        <v>69</v>
      </c>
      <c r="C55" t="s">
        <v>70</v>
      </c>
      <c r="D55" s="25">
        <v>45043</v>
      </c>
      <c r="E55" s="15">
        <v>145000</v>
      </c>
      <c r="F55" t="s">
        <v>41</v>
      </c>
      <c r="G55" t="s">
        <v>29</v>
      </c>
      <c r="H55" s="15">
        <v>145000</v>
      </c>
      <c r="I55" s="15">
        <v>54800</v>
      </c>
      <c r="J55" s="20">
        <f>I55/H55*100</f>
        <v>37.793103448275858</v>
      </c>
      <c r="K55" s="15">
        <v>136735</v>
      </c>
      <c r="L55" s="15">
        <f>H55-130400</f>
        <v>14600</v>
      </c>
      <c r="M55" s="15">
        <v>6335</v>
      </c>
      <c r="N55" s="30">
        <v>36.202140999999997</v>
      </c>
      <c r="O55" s="34">
        <v>143</v>
      </c>
      <c r="P55" s="39">
        <v>0.1</v>
      </c>
      <c r="Q55" s="39">
        <v>0.1</v>
      </c>
      <c r="R55" s="15">
        <f>L55/N55</f>
        <v>403.29106502292228</v>
      </c>
      <c r="S55" s="15">
        <f>L55/P55</f>
        <v>146000</v>
      </c>
      <c r="T55" s="44">
        <f>L55/P55/43560</f>
        <v>3.351698806244261</v>
      </c>
      <c r="U55" s="39">
        <v>30.55</v>
      </c>
      <c r="V55" s="6" t="s">
        <v>30</v>
      </c>
      <c r="X55" t="s">
        <v>31</v>
      </c>
      <c r="Y55" s="7" t="s">
        <v>34</v>
      </c>
      <c r="Z55" t="s">
        <v>33</v>
      </c>
    </row>
    <row r="56" spans="1:26" x14ac:dyDescent="0.25">
      <c r="A56" t="s">
        <v>31</v>
      </c>
      <c r="B56" t="s">
        <v>83</v>
      </c>
      <c r="C56" t="s">
        <v>84</v>
      </c>
      <c r="D56" s="25">
        <v>44783</v>
      </c>
      <c r="E56" s="15">
        <v>46000</v>
      </c>
      <c r="F56" t="s">
        <v>25</v>
      </c>
      <c r="G56" t="s">
        <v>29</v>
      </c>
      <c r="H56" s="15">
        <v>46000</v>
      </c>
      <c r="I56" s="15">
        <v>11500</v>
      </c>
      <c r="J56" s="20">
        <f>I56/H56*100</f>
        <v>25</v>
      </c>
      <c r="K56" s="15">
        <v>38923</v>
      </c>
      <c r="L56" s="15">
        <f>H56-33673</f>
        <v>12327</v>
      </c>
      <c r="M56" s="15">
        <v>5250</v>
      </c>
      <c r="N56" s="30">
        <v>30</v>
      </c>
      <c r="O56" s="34">
        <v>100</v>
      </c>
      <c r="P56" s="39">
        <v>6.9000000000000006E-2</v>
      </c>
      <c r="Q56" s="39">
        <v>6.9000000000000006E-2</v>
      </c>
      <c r="R56" s="15">
        <f>L56/N56</f>
        <v>410.9</v>
      </c>
      <c r="S56" s="15">
        <f>L56/P56</f>
        <v>178652.17391304346</v>
      </c>
      <c r="T56" s="44">
        <f>L56/P56/43560</f>
        <v>4.1012895755978755</v>
      </c>
      <c r="U56" s="39">
        <v>30</v>
      </c>
      <c r="V56" s="6" t="s">
        <v>30</v>
      </c>
      <c r="X56" t="s">
        <v>31</v>
      </c>
      <c r="Y56" s="7" t="s">
        <v>34</v>
      </c>
      <c r="Z56" t="s">
        <v>33</v>
      </c>
    </row>
    <row r="57" spans="1:26" x14ac:dyDescent="0.25">
      <c r="A57" t="s">
        <v>31</v>
      </c>
      <c r="B57" t="s">
        <v>140</v>
      </c>
      <c r="C57" t="s">
        <v>141</v>
      </c>
      <c r="D57" s="25">
        <v>44967</v>
      </c>
      <c r="E57" s="15">
        <v>115000</v>
      </c>
      <c r="F57" t="s">
        <v>41</v>
      </c>
      <c r="G57" t="s">
        <v>29</v>
      </c>
      <c r="H57" s="15">
        <v>115000</v>
      </c>
      <c r="I57" s="15">
        <v>31200</v>
      </c>
      <c r="J57" s="20">
        <f>I57/H57*100</f>
        <v>27.130434782608699</v>
      </c>
      <c r="K57" s="15">
        <v>106597</v>
      </c>
      <c r="L57" s="15">
        <f>H57-100535</f>
        <v>14465</v>
      </c>
      <c r="M57" s="15">
        <v>6062</v>
      </c>
      <c r="N57" s="30">
        <v>34.641016</v>
      </c>
      <c r="O57" s="34">
        <v>100</v>
      </c>
      <c r="P57" s="39">
        <v>9.1999999999999998E-2</v>
      </c>
      <c r="Q57" s="39">
        <v>9.1999999999999998E-2</v>
      </c>
      <c r="R57" s="15">
        <f>L57/N57</f>
        <v>417.56858401612698</v>
      </c>
      <c r="S57" s="15">
        <f>L57/P57</f>
        <v>157228.26086956522</v>
      </c>
      <c r="T57" s="44">
        <f>L57/P57/43560</f>
        <v>3.6094642072902943</v>
      </c>
      <c r="U57" s="39">
        <v>40</v>
      </c>
      <c r="V57" s="6" t="s">
        <v>30</v>
      </c>
      <c r="X57" t="s">
        <v>31</v>
      </c>
      <c r="Y57" s="7" t="s">
        <v>34</v>
      </c>
      <c r="Z57" t="s">
        <v>33</v>
      </c>
    </row>
    <row r="58" spans="1:26" x14ac:dyDescent="0.25">
      <c r="A58" t="s">
        <v>31</v>
      </c>
      <c r="B58" t="s">
        <v>175</v>
      </c>
      <c r="C58" t="s">
        <v>176</v>
      </c>
      <c r="D58" s="25">
        <v>44712</v>
      </c>
      <c r="E58" s="15">
        <v>68000</v>
      </c>
      <c r="F58" t="s">
        <v>25</v>
      </c>
      <c r="G58" t="s">
        <v>29</v>
      </c>
      <c r="H58" s="15">
        <v>68000</v>
      </c>
      <c r="I58" s="15">
        <v>18000</v>
      </c>
      <c r="J58" s="20">
        <f>I58/H58*100</f>
        <v>26.47058823529412</v>
      </c>
      <c r="K58" s="15">
        <v>58623</v>
      </c>
      <c r="L58" s="15">
        <f>H58-52265</f>
        <v>15735</v>
      </c>
      <c r="M58" s="15">
        <v>6358</v>
      </c>
      <c r="N58" s="30">
        <v>36.331803999999998</v>
      </c>
      <c r="O58" s="34">
        <v>110</v>
      </c>
      <c r="P58" s="39">
        <v>0.10100000000000001</v>
      </c>
      <c r="Q58" s="39">
        <v>0.10100000000000001</v>
      </c>
      <c r="R58" s="15">
        <f>L58/N58</f>
        <v>433.0916240768006</v>
      </c>
      <c r="S58" s="15">
        <f>L58/P58</f>
        <v>155792.07920792079</v>
      </c>
      <c r="T58" s="44">
        <f>L58/P58/43560</f>
        <v>3.5764940130376672</v>
      </c>
      <c r="U58" s="39">
        <v>40</v>
      </c>
      <c r="V58" s="6" t="s">
        <v>30</v>
      </c>
      <c r="X58" t="s">
        <v>31</v>
      </c>
      <c r="Y58" s="7" t="s">
        <v>34</v>
      </c>
      <c r="Z58" t="s">
        <v>33</v>
      </c>
    </row>
    <row r="59" spans="1:26" x14ac:dyDescent="0.25">
      <c r="A59" t="s">
        <v>31</v>
      </c>
      <c r="B59" t="s">
        <v>105</v>
      </c>
      <c r="C59" t="s">
        <v>106</v>
      </c>
      <c r="D59" s="25">
        <v>45051</v>
      </c>
      <c r="E59" s="15">
        <v>92000</v>
      </c>
      <c r="F59" t="s">
        <v>25</v>
      </c>
      <c r="G59" t="s">
        <v>29</v>
      </c>
      <c r="H59" s="15">
        <v>92000</v>
      </c>
      <c r="I59" s="15">
        <v>32800</v>
      </c>
      <c r="J59" s="20">
        <f>I59/H59*100</f>
        <v>35.652173913043477</v>
      </c>
      <c r="K59" s="15">
        <v>82136</v>
      </c>
      <c r="L59" s="15">
        <f>H59-75924</f>
        <v>16076</v>
      </c>
      <c r="M59" s="15">
        <v>6212</v>
      </c>
      <c r="N59" s="30">
        <v>35.496479000000001</v>
      </c>
      <c r="O59" s="34">
        <v>100</v>
      </c>
      <c r="P59" s="39">
        <v>9.6000000000000002E-2</v>
      </c>
      <c r="Q59" s="39">
        <v>9.6000000000000002E-2</v>
      </c>
      <c r="R59" s="15">
        <f>L59/N59</f>
        <v>452.88998945501044</v>
      </c>
      <c r="S59" s="15">
        <f>L59/P59</f>
        <v>167458.33333333334</v>
      </c>
      <c r="T59" s="44">
        <f>L59/P59/43560</f>
        <v>3.8443143556779922</v>
      </c>
      <c r="U59" s="39">
        <v>42</v>
      </c>
      <c r="V59" s="6" t="s">
        <v>30</v>
      </c>
      <c r="X59" t="s">
        <v>31</v>
      </c>
      <c r="Y59" s="7" t="s">
        <v>34</v>
      </c>
      <c r="Z59" t="s">
        <v>33</v>
      </c>
    </row>
    <row r="60" spans="1:26" x14ac:dyDescent="0.25">
      <c r="A60" t="s">
        <v>31</v>
      </c>
      <c r="B60" t="s">
        <v>154</v>
      </c>
      <c r="C60" t="s">
        <v>155</v>
      </c>
      <c r="D60" s="25">
        <v>44734</v>
      </c>
      <c r="E60" s="15">
        <v>130000</v>
      </c>
      <c r="F60" t="s">
        <v>25</v>
      </c>
      <c r="G60" t="s">
        <v>29</v>
      </c>
      <c r="H60" s="15">
        <v>130000</v>
      </c>
      <c r="I60" s="15">
        <v>35400</v>
      </c>
      <c r="J60" s="20">
        <f>I60/H60*100</f>
        <v>27.23076923076923</v>
      </c>
      <c r="K60" s="15">
        <v>120006</v>
      </c>
      <c r="L60" s="15">
        <f>H60-114799</f>
        <v>15201</v>
      </c>
      <c r="M60" s="15">
        <v>5207</v>
      </c>
      <c r="N60" s="30">
        <v>29.756197</v>
      </c>
      <c r="O60" s="34">
        <v>59.625</v>
      </c>
      <c r="P60" s="39">
        <v>6.8000000000000005E-2</v>
      </c>
      <c r="Q60" s="39">
        <v>6.8000000000000005E-2</v>
      </c>
      <c r="R60" s="15">
        <f>L60/N60</f>
        <v>510.85157152306795</v>
      </c>
      <c r="S60" s="15">
        <f>L60/P60</f>
        <v>223544.1176470588</v>
      </c>
      <c r="T60" s="44">
        <f>L60/P60/43560</f>
        <v>5.1318667963052986</v>
      </c>
      <c r="U60" s="39">
        <v>49.5</v>
      </c>
      <c r="V60" s="6" t="s">
        <v>30</v>
      </c>
      <c r="X60" t="s">
        <v>31</v>
      </c>
      <c r="Y60" s="7" t="s">
        <v>34</v>
      </c>
      <c r="Z60" t="s">
        <v>33</v>
      </c>
    </row>
    <row r="61" spans="1:26" x14ac:dyDescent="0.25">
      <c r="A61" t="s">
        <v>31</v>
      </c>
      <c r="B61" t="s">
        <v>192</v>
      </c>
      <c r="C61" t="s">
        <v>193</v>
      </c>
      <c r="D61" s="25">
        <v>45352</v>
      </c>
      <c r="E61" s="15">
        <v>70000</v>
      </c>
      <c r="F61" t="s">
        <v>41</v>
      </c>
      <c r="G61" t="s">
        <v>29</v>
      </c>
      <c r="H61" s="15">
        <v>70000</v>
      </c>
      <c r="I61" s="15">
        <v>23000</v>
      </c>
      <c r="J61" s="20">
        <f>I61/H61*100</f>
        <v>32.857142857142854</v>
      </c>
      <c r="K61" s="15">
        <v>57735</v>
      </c>
      <c r="L61" s="15">
        <f>H61-51376</f>
        <v>18624</v>
      </c>
      <c r="M61" s="15">
        <v>6359</v>
      </c>
      <c r="N61" s="30">
        <v>36.338408999999999</v>
      </c>
      <c r="O61" s="34">
        <v>110.040001</v>
      </c>
      <c r="P61" s="39">
        <v>0.10100000000000001</v>
      </c>
      <c r="Q61" s="39">
        <v>0.10100000000000001</v>
      </c>
      <c r="R61" s="15">
        <f>L61/N61</f>
        <v>512.51555895031072</v>
      </c>
      <c r="S61" s="15">
        <f>L61/P61</f>
        <v>184396.03960396038</v>
      </c>
      <c r="T61" s="44">
        <f>L61/P61/43560</f>
        <v>4.2331505877860511</v>
      </c>
      <c r="U61" s="39">
        <v>40</v>
      </c>
      <c r="V61" s="6" t="s">
        <v>30</v>
      </c>
      <c r="X61" t="s">
        <v>31</v>
      </c>
      <c r="Y61" s="7" t="s">
        <v>34</v>
      </c>
      <c r="Z61" t="s">
        <v>33</v>
      </c>
    </row>
    <row r="62" spans="1:26" x14ac:dyDescent="0.25">
      <c r="A62" t="s">
        <v>31</v>
      </c>
      <c r="B62" t="s">
        <v>37</v>
      </c>
      <c r="C62" t="s">
        <v>38</v>
      </c>
      <c r="D62" s="25">
        <v>45309</v>
      </c>
      <c r="E62" s="15">
        <v>89000</v>
      </c>
      <c r="F62" t="s">
        <v>25</v>
      </c>
      <c r="G62" t="s">
        <v>29</v>
      </c>
      <c r="H62" s="15">
        <v>89000</v>
      </c>
      <c r="I62" s="15">
        <v>28800</v>
      </c>
      <c r="J62" s="20">
        <f>I62/H62*100</f>
        <v>32.359550561797754</v>
      </c>
      <c r="K62" s="15">
        <v>72127</v>
      </c>
      <c r="L62" s="15">
        <f>H62-63729</f>
        <v>25271</v>
      </c>
      <c r="M62" s="15">
        <v>8398</v>
      </c>
      <c r="N62" s="30">
        <v>47.989032000000002</v>
      </c>
      <c r="O62" s="34">
        <v>183.779999</v>
      </c>
      <c r="P62" s="39">
        <v>0.17599999999999999</v>
      </c>
      <c r="Q62" s="39">
        <v>0.17599999999999999</v>
      </c>
      <c r="R62" s="15">
        <f>L62/N62</f>
        <v>526.59949465119439</v>
      </c>
      <c r="S62" s="15">
        <f>L62/P62</f>
        <v>143585.22727272729</v>
      </c>
      <c r="T62" s="44">
        <f>L62/P62/43560</f>
        <v>3.296263252358294</v>
      </c>
      <c r="U62" s="39">
        <v>41.77</v>
      </c>
      <c r="V62" s="6" t="s">
        <v>30</v>
      </c>
      <c r="X62" t="s">
        <v>31</v>
      </c>
      <c r="Y62" s="7" t="s">
        <v>34</v>
      </c>
      <c r="Z62" t="s">
        <v>33</v>
      </c>
    </row>
    <row r="63" spans="1:26" x14ac:dyDescent="0.25">
      <c r="A63" t="s">
        <v>31</v>
      </c>
      <c r="B63" t="s">
        <v>204</v>
      </c>
      <c r="C63" t="s">
        <v>205</v>
      </c>
      <c r="D63" s="25">
        <v>44725</v>
      </c>
      <c r="E63" s="15">
        <v>60000</v>
      </c>
      <c r="F63" t="s">
        <v>25</v>
      </c>
      <c r="G63" t="s">
        <v>29</v>
      </c>
      <c r="H63" s="15">
        <v>60000</v>
      </c>
      <c r="I63" s="15">
        <v>13400</v>
      </c>
      <c r="J63" s="20">
        <f>I63/H63*100</f>
        <v>22.333333333333332</v>
      </c>
      <c r="K63" s="15">
        <v>43509</v>
      </c>
      <c r="L63" s="15">
        <f>H63-35743</f>
        <v>24257</v>
      </c>
      <c r="M63" s="15">
        <v>7766</v>
      </c>
      <c r="N63" s="30">
        <v>44.375669000000002</v>
      </c>
      <c r="O63" s="34">
        <v>109.400002</v>
      </c>
      <c r="P63" s="39">
        <v>0.151</v>
      </c>
      <c r="Q63" s="39">
        <v>0.151</v>
      </c>
      <c r="R63" s="15">
        <f>L63/N63</f>
        <v>546.62837871807631</v>
      </c>
      <c r="S63" s="15">
        <f>L63/P63</f>
        <v>160642.38410596026</v>
      </c>
      <c r="T63" s="44">
        <f>L63/P63/43560</f>
        <v>3.6878416920560206</v>
      </c>
      <c r="U63" s="39">
        <v>60</v>
      </c>
      <c r="V63" s="6" t="s">
        <v>30</v>
      </c>
      <c r="X63" t="s">
        <v>31</v>
      </c>
      <c r="Y63" s="7" t="s">
        <v>34</v>
      </c>
      <c r="Z63" t="s">
        <v>33</v>
      </c>
    </row>
    <row r="64" spans="1:26" x14ac:dyDescent="0.25">
      <c r="A64" t="s">
        <v>31</v>
      </c>
      <c r="B64" t="s">
        <v>94</v>
      </c>
      <c r="C64" t="s">
        <v>95</v>
      </c>
      <c r="D64" s="25">
        <v>45211</v>
      </c>
      <c r="E64" s="15">
        <v>85000</v>
      </c>
      <c r="F64" t="s">
        <v>25</v>
      </c>
      <c r="G64" t="s">
        <v>29</v>
      </c>
      <c r="H64" s="15">
        <v>85000</v>
      </c>
      <c r="I64" s="15">
        <v>28400</v>
      </c>
      <c r="J64" s="20">
        <f>I64/H64*100</f>
        <v>33.411764705882355</v>
      </c>
      <c r="K64" s="15">
        <v>72587</v>
      </c>
      <c r="L64" s="15">
        <f>H64-67337</f>
        <v>17663</v>
      </c>
      <c r="M64" s="15">
        <v>5250</v>
      </c>
      <c r="N64" s="30">
        <v>30</v>
      </c>
      <c r="O64" s="34">
        <v>100</v>
      </c>
      <c r="P64" s="39">
        <v>6.9000000000000006E-2</v>
      </c>
      <c r="Q64" s="39">
        <v>6.9000000000000006E-2</v>
      </c>
      <c r="R64" s="15">
        <f>L64/N64</f>
        <v>588.76666666666665</v>
      </c>
      <c r="S64" s="15">
        <f>L64/P64</f>
        <v>255985.5072463768</v>
      </c>
      <c r="T64" s="44">
        <f>L64/P64/43560</f>
        <v>5.8766186236541964</v>
      </c>
      <c r="U64" s="39">
        <v>30</v>
      </c>
      <c r="V64" s="6" t="s">
        <v>30</v>
      </c>
      <c r="X64" t="s">
        <v>31</v>
      </c>
      <c r="Y64" s="7" t="s">
        <v>34</v>
      </c>
      <c r="Z64" t="s">
        <v>33</v>
      </c>
    </row>
    <row r="65" spans="1:26" x14ac:dyDescent="0.25">
      <c r="A65" t="s">
        <v>31</v>
      </c>
      <c r="B65" t="s">
        <v>71</v>
      </c>
      <c r="C65" t="s">
        <v>72</v>
      </c>
      <c r="D65" s="25">
        <v>45071</v>
      </c>
      <c r="E65" s="15">
        <v>72000</v>
      </c>
      <c r="F65" t="s">
        <v>41</v>
      </c>
      <c r="G65" t="s">
        <v>29</v>
      </c>
      <c r="H65" s="15">
        <v>72000</v>
      </c>
      <c r="I65" s="15">
        <v>22600</v>
      </c>
      <c r="J65" s="20">
        <f>I65/H65*100</f>
        <v>31.388888888888889</v>
      </c>
      <c r="K65" s="15">
        <v>56423</v>
      </c>
      <c r="L65" s="15">
        <f>H65-50380</f>
        <v>21620</v>
      </c>
      <c r="M65" s="15">
        <v>6043</v>
      </c>
      <c r="N65" s="30">
        <v>34.528683999999998</v>
      </c>
      <c r="O65" s="34">
        <v>132.470001</v>
      </c>
      <c r="P65" s="39">
        <v>9.0999999999999998E-2</v>
      </c>
      <c r="Q65" s="39">
        <v>9.0999999999999998E-2</v>
      </c>
      <c r="R65" s="15">
        <f>L65/N65</f>
        <v>626.14607611457188</v>
      </c>
      <c r="S65" s="15">
        <f>L65/P65</f>
        <v>237582.41758241758</v>
      </c>
      <c r="T65" s="44">
        <f>L65/P65/43560</f>
        <v>5.4541418177781811</v>
      </c>
      <c r="U65" s="39">
        <v>30</v>
      </c>
      <c r="V65" s="6" t="s">
        <v>30</v>
      </c>
      <c r="X65" t="s">
        <v>31</v>
      </c>
      <c r="Y65" s="7" t="s">
        <v>34</v>
      </c>
      <c r="Z65" t="s">
        <v>33</v>
      </c>
    </row>
    <row r="66" spans="1:26" x14ac:dyDescent="0.25">
      <c r="A66" t="s">
        <v>31</v>
      </c>
      <c r="B66" t="s">
        <v>117</v>
      </c>
      <c r="C66" t="s">
        <v>118</v>
      </c>
      <c r="D66" s="25">
        <v>45169</v>
      </c>
      <c r="E66" s="15">
        <v>69500</v>
      </c>
      <c r="F66" t="s">
        <v>41</v>
      </c>
      <c r="G66" t="s">
        <v>29</v>
      </c>
      <c r="H66" s="15">
        <v>69500</v>
      </c>
      <c r="I66" s="15">
        <v>21500</v>
      </c>
      <c r="J66" s="20">
        <f>I66/H66*100</f>
        <v>30.935251798561154</v>
      </c>
      <c r="K66" s="15">
        <v>53638</v>
      </c>
      <c r="L66" s="15">
        <f>H66-48132</f>
        <v>21368</v>
      </c>
      <c r="M66" s="15">
        <v>5506</v>
      </c>
      <c r="N66" s="30">
        <v>31.464265000000001</v>
      </c>
      <c r="O66" s="34">
        <v>110</v>
      </c>
      <c r="P66" s="39">
        <v>7.5999999999999998E-2</v>
      </c>
      <c r="Q66" s="39">
        <v>7.5999999999999998E-2</v>
      </c>
      <c r="R66" s="15">
        <f>L66/N66</f>
        <v>679.11962984039189</v>
      </c>
      <c r="S66" s="15">
        <f>L66/P66</f>
        <v>281157.89473684214</v>
      </c>
      <c r="T66" s="44">
        <f>L66/P66/43560</f>
        <v>6.4544971243535842</v>
      </c>
      <c r="U66" s="39">
        <v>30</v>
      </c>
      <c r="V66" s="6" t="s">
        <v>30</v>
      </c>
      <c r="X66" t="s">
        <v>31</v>
      </c>
      <c r="Y66" s="7" t="s">
        <v>34</v>
      </c>
      <c r="Z66" t="s">
        <v>33</v>
      </c>
    </row>
    <row r="67" spans="1:26" x14ac:dyDescent="0.25">
      <c r="A67" t="s">
        <v>31</v>
      </c>
      <c r="B67" t="s">
        <v>107</v>
      </c>
      <c r="C67" t="s">
        <v>108</v>
      </c>
      <c r="D67" s="25">
        <v>45373</v>
      </c>
      <c r="E67" s="15">
        <v>95000</v>
      </c>
      <c r="F67" t="s">
        <v>41</v>
      </c>
      <c r="G67" t="s">
        <v>29</v>
      </c>
      <c r="H67" s="15">
        <v>95000</v>
      </c>
      <c r="I67" s="15">
        <v>31600</v>
      </c>
      <c r="J67" s="20">
        <f>I67/H67*100</f>
        <v>33.263157894736842</v>
      </c>
      <c r="K67" s="15">
        <v>78687</v>
      </c>
      <c r="L67" s="15">
        <f>H67-73121</f>
        <v>21879</v>
      </c>
      <c r="M67" s="15">
        <v>5566</v>
      </c>
      <c r="N67" s="30">
        <v>31.808489000000002</v>
      </c>
      <c r="O67" s="34">
        <v>110</v>
      </c>
      <c r="P67" s="39">
        <v>7.6999999999999999E-2</v>
      </c>
      <c r="Q67" s="39">
        <v>7.6999999999999999E-2</v>
      </c>
      <c r="R67" s="15">
        <f>L67/N67</f>
        <v>687.83525052070217</v>
      </c>
      <c r="S67" s="15">
        <f>L67/P67</f>
        <v>284142.85714285716</v>
      </c>
      <c r="T67" s="44">
        <f>L67/P67/43560</f>
        <v>6.5230224321133417</v>
      </c>
      <c r="U67" s="39">
        <v>30.66</v>
      </c>
      <c r="V67" s="6" t="s">
        <v>30</v>
      </c>
      <c r="X67" t="s">
        <v>31</v>
      </c>
      <c r="Y67" s="7" t="s">
        <v>34</v>
      </c>
      <c r="Z67" t="s">
        <v>33</v>
      </c>
    </row>
    <row r="68" spans="1:26" x14ac:dyDescent="0.25">
      <c r="A68" t="s">
        <v>31</v>
      </c>
      <c r="B68" t="s">
        <v>99</v>
      </c>
      <c r="C68" t="s">
        <v>100</v>
      </c>
      <c r="D68" s="25">
        <v>44813</v>
      </c>
      <c r="E68" s="15">
        <v>80000</v>
      </c>
      <c r="F68" t="s">
        <v>41</v>
      </c>
      <c r="G68" t="s">
        <v>29</v>
      </c>
      <c r="H68" s="15">
        <v>80000</v>
      </c>
      <c r="I68" s="15">
        <v>19200</v>
      </c>
      <c r="J68" s="20">
        <f>I68/H68*100</f>
        <v>24</v>
      </c>
      <c r="K68" s="15">
        <v>62163</v>
      </c>
      <c r="L68" s="15">
        <f>H68-56101</f>
        <v>23899</v>
      </c>
      <c r="M68" s="15">
        <v>6062</v>
      </c>
      <c r="N68" s="30">
        <v>34.641016</v>
      </c>
      <c r="O68" s="34">
        <v>100</v>
      </c>
      <c r="P68" s="39">
        <v>9.1999999999999998E-2</v>
      </c>
      <c r="Q68" s="39">
        <v>9.1999999999999998E-2</v>
      </c>
      <c r="R68" s="15">
        <f>L68/N68</f>
        <v>689.9047071829533</v>
      </c>
      <c r="S68" s="15">
        <f>L68/P68</f>
        <v>259771.73913043478</v>
      </c>
      <c r="T68" s="44">
        <f>L68/P68/43560</f>
        <v>5.9635385475306428</v>
      </c>
      <c r="U68" s="39">
        <v>40</v>
      </c>
      <c r="V68" s="6" t="s">
        <v>30</v>
      </c>
      <c r="X68" t="s">
        <v>31</v>
      </c>
      <c r="Y68" s="7" t="s">
        <v>34</v>
      </c>
      <c r="Z68" t="s">
        <v>33</v>
      </c>
    </row>
    <row r="69" spans="1:26" x14ac:dyDescent="0.25">
      <c r="A69" t="s">
        <v>31</v>
      </c>
      <c r="B69" t="s">
        <v>196</v>
      </c>
      <c r="C69" t="s">
        <v>197</v>
      </c>
      <c r="D69" s="25">
        <v>44677</v>
      </c>
      <c r="E69" s="15">
        <v>77000</v>
      </c>
      <c r="F69" t="s">
        <v>25</v>
      </c>
      <c r="G69" t="s">
        <v>29</v>
      </c>
      <c r="H69" s="15">
        <v>77000</v>
      </c>
      <c r="I69" s="15">
        <v>16700</v>
      </c>
      <c r="J69" s="20">
        <f>I69/H69*100</f>
        <v>21.688311688311686</v>
      </c>
      <c r="K69" s="15">
        <v>53997</v>
      </c>
      <c r="L69" s="15">
        <f>H69-46209</f>
        <v>30791</v>
      </c>
      <c r="M69" s="15">
        <v>7788</v>
      </c>
      <c r="N69" s="30">
        <v>44.505280999999997</v>
      </c>
      <c r="O69" s="34">
        <v>110.040001</v>
      </c>
      <c r="P69" s="39">
        <v>0.152</v>
      </c>
      <c r="Q69" s="39">
        <v>0.152</v>
      </c>
      <c r="R69" s="15">
        <f>L69/N69</f>
        <v>691.85047949702869</v>
      </c>
      <c r="S69" s="15">
        <f>L69/P69</f>
        <v>202572.36842105264</v>
      </c>
      <c r="T69" s="44">
        <f>L69/P69/43560</f>
        <v>4.6504216809240733</v>
      </c>
      <c r="U69" s="39">
        <v>60</v>
      </c>
      <c r="V69" s="6" t="s">
        <v>30</v>
      </c>
      <c r="X69" t="s">
        <v>31</v>
      </c>
      <c r="Y69" s="7" t="s">
        <v>34</v>
      </c>
      <c r="Z69" t="s">
        <v>33</v>
      </c>
    </row>
    <row r="70" spans="1:26" x14ac:dyDescent="0.25">
      <c r="A70" t="s">
        <v>31</v>
      </c>
      <c r="B70" t="s">
        <v>35</v>
      </c>
      <c r="C70" t="s">
        <v>36</v>
      </c>
      <c r="D70" s="25">
        <v>45295</v>
      </c>
      <c r="E70" s="15">
        <v>101000</v>
      </c>
      <c r="F70" t="s">
        <v>25</v>
      </c>
      <c r="G70" t="s">
        <v>29</v>
      </c>
      <c r="H70" s="15">
        <v>101000</v>
      </c>
      <c r="I70" s="15">
        <v>31200</v>
      </c>
      <c r="J70" s="20">
        <f>I70/H70*100</f>
        <v>30.89108910891089</v>
      </c>
      <c r="K70" s="15">
        <v>77922</v>
      </c>
      <c r="L70" s="15">
        <f>H70-70309</f>
        <v>30691</v>
      </c>
      <c r="M70" s="15">
        <v>7613</v>
      </c>
      <c r="N70" s="30">
        <v>43.502873000000001</v>
      </c>
      <c r="O70" s="34">
        <v>100</v>
      </c>
      <c r="P70" s="39">
        <v>0.14799999999999999</v>
      </c>
      <c r="Q70" s="39">
        <v>0.14799999999999999</v>
      </c>
      <c r="R70" s="15">
        <f>L70/N70</f>
        <v>705.49363486866719</v>
      </c>
      <c r="S70" s="15">
        <f>L70/P70</f>
        <v>207371.62162162163</v>
      </c>
      <c r="T70" s="44">
        <f>L70/P70/43560</f>
        <v>4.760597374233738</v>
      </c>
      <c r="U70" s="39">
        <v>60</v>
      </c>
      <c r="V70" s="6" t="s">
        <v>30</v>
      </c>
      <c r="X70" t="s">
        <v>31</v>
      </c>
      <c r="Y70" s="7" t="s">
        <v>34</v>
      </c>
      <c r="Z70" t="s">
        <v>33</v>
      </c>
    </row>
    <row r="71" spans="1:26" x14ac:dyDescent="0.25">
      <c r="A71" t="s">
        <v>31</v>
      </c>
      <c r="B71" t="s">
        <v>27</v>
      </c>
      <c r="C71" t="s">
        <v>28</v>
      </c>
      <c r="D71" s="25">
        <v>45376</v>
      </c>
      <c r="E71" s="15">
        <v>30000</v>
      </c>
      <c r="F71" t="s">
        <v>25</v>
      </c>
      <c r="G71" t="s">
        <v>29</v>
      </c>
      <c r="H71" s="15">
        <v>30000</v>
      </c>
      <c r="I71" s="15">
        <v>2800</v>
      </c>
      <c r="J71" s="20">
        <f>I71/H71*100</f>
        <v>9.3333333333333339</v>
      </c>
      <c r="K71" s="15">
        <v>7425</v>
      </c>
      <c r="L71" s="15">
        <f>H71-0</f>
        <v>30000</v>
      </c>
      <c r="M71" s="15">
        <v>7425</v>
      </c>
      <c r="N71" s="30">
        <v>42.426406999999998</v>
      </c>
      <c r="O71" s="34">
        <v>100</v>
      </c>
      <c r="P71" s="39">
        <v>0.13800000000000001</v>
      </c>
      <c r="Q71" s="39">
        <v>0.13800000000000001</v>
      </c>
      <c r="R71" s="15">
        <f>L71/N71</f>
        <v>707.10677903976182</v>
      </c>
      <c r="S71" s="15">
        <f>L71/P71</f>
        <v>217391.30434782608</v>
      </c>
      <c r="T71" s="44">
        <f>L71/P71/43560</f>
        <v>4.9906176388389829</v>
      </c>
      <c r="U71" s="39">
        <v>60</v>
      </c>
      <c r="V71" s="6" t="s">
        <v>30</v>
      </c>
      <c r="X71" t="s">
        <v>31</v>
      </c>
      <c r="Y71" s="7" t="s">
        <v>32</v>
      </c>
      <c r="Z71" t="s">
        <v>33</v>
      </c>
    </row>
    <row r="72" spans="1:26" x14ac:dyDescent="0.25">
      <c r="A72" t="s">
        <v>31</v>
      </c>
      <c r="B72" t="s">
        <v>146</v>
      </c>
      <c r="C72" t="s">
        <v>147</v>
      </c>
      <c r="D72" s="25">
        <v>44680</v>
      </c>
      <c r="E72" s="15">
        <v>70000</v>
      </c>
      <c r="F72" t="s">
        <v>25</v>
      </c>
      <c r="G72" t="s">
        <v>26</v>
      </c>
      <c r="H72" s="15">
        <v>70000</v>
      </c>
      <c r="I72" s="15">
        <v>13600</v>
      </c>
      <c r="J72" s="20">
        <f>I72/H72*100</f>
        <v>19.428571428571427</v>
      </c>
      <c r="K72" s="15">
        <v>36705</v>
      </c>
      <c r="L72" s="15">
        <f>H72-29285</f>
        <v>40715</v>
      </c>
      <c r="M72" s="15">
        <v>7420</v>
      </c>
      <c r="N72" s="30">
        <v>57.077666000000001</v>
      </c>
      <c r="O72" s="34">
        <v>200</v>
      </c>
      <c r="P72" s="39">
        <v>0.125</v>
      </c>
      <c r="Q72" s="39">
        <v>5.6000000000000001E-2</v>
      </c>
      <c r="R72" s="15">
        <f>L72/N72</f>
        <v>713.32629473671886</v>
      </c>
      <c r="S72" s="15">
        <f>L72/P72</f>
        <v>325720</v>
      </c>
      <c r="T72" s="44">
        <f>L72/P72/43560</f>
        <v>7.477502295684114</v>
      </c>
      <c r="U72" s="39">
        <v>54.44</v>
      </c>
      <c r="V72" s="6" t="s">
        <v>30</v>
      </c>
      <c r="W72" t="s">
        <v>148</v>
      </c>
      <c r="X72" t="s">
        <v>31</v>
      </c>
      <c r="Y72" s="7" t="s">
        <v>34</v>
      </c>
      <c r="Z72" t="s">
        <v>33</v>
      </c>
    </row>
    <row r="73" spans="1:26" x14ac:dyDescent="0.25">
      <c r="A73" t="s">
        <v>31</v>
      </c>
      <c r="B73" t="s">
        <v>50</v>
      </c>
      <c r="C73" t="s">
        <v>51</v>
      </c>
      <c r="D73" s="25">
        <v>44834</v>
      </c>
      <c r="E73" s="15">
        <v>89900</v>
      </c>
      <c r="F73" t="s">
        <v>25</v>
      </c>
      <c r="G73" t="s">
        <v>29</v>
      </c>
      <c r="H73" s="15">
        <v>89900</v>
      </c>
      <c r="I73" s="15">
        <v>22400</v>
      </c>
      <c r="J73" s="20">
        <f>I73/H73*100</f>
        <v>24.916573971078975</v>
      </c>
      <c r="K73" s="15">
        <v>72859</v>
      </c>
      <c r="L73" s="15">
        <f>H73-67353</f>
        <v>22547</v>
      </c>
      <c r="M73" s="15">
        <v>5506</v>
      </c>
      <c r="N73" s="30">
        <v>31.464265000000001</v>
      </c>
      <c r="O73" s="34">
        <v>110</v>
      </c>
      <c r="P73" s="39">
        <v>7.5999999999999998E-2</v>
      </c>
      <c r="Q73" s="39">
        <v>7.5999999999999998E-2</v>
      </c>
      <c r="R73" s="15">
        <f>L73/N73</f>
        <v>716.59071012782272</v>
      </c>
      <c r="S73" s="15">
        <f>L73/P73</f>
        <v>296671.05263157893</v>
      </c>
      <c r="T73" s="44">
        <f>L73/P73/43560</f>
        <v>6.8106302257019955</v>
      </c>
      <c r="U73" s="39">
        <v>30</v>
      </c>
      <c r="V73" s="6" t="s">
        <v>30</v>
      </c>
      <c r="X73" t="s">
        <v>31</v>
      </c>
      <c r="Y73" s="7" t="s">
        <v>34</v>
      </c>
      <c r="Z73" t="s">
        <v>33</v>
      </c>
    </row>
    <row r="74" spans="1:26" x14ac:dyDescent="0.25">
      <c r="A74" t="s">
        <v>31</v>
      </c>
      <c r="B74" t="s">
        <v>165</v>
      </c>
      <c r="C74" t="s">
        <v>166</v>
      </c>
      <c r="D74" s="25">
        <v>44674</v>
      </c>
      <c r="E74" s="15">
        <v>73500</v>
      </c>
      <c r="F74" t="s">
        <v>41</v>
      </c>
      <c r="G74" t="s">
        <v>29</v>
      </c>
      <c r="H74" s="15">
        <v>73500</v>
      </c>
      <c r="I74" s="15">
        <v>17300</v>
      </c>
      <c r="J74" s="20">
        <f>I74/H74*100</f>
        <v>23.537414965986393</v>
      </c>
      <c r="K74" s="15">
        <v>55266</v>
      </c>
      <c r="L74" s="15">
        <f>H74-49760</f>
        <v>23740</v>
      </c>
      <c r="M74" s="15">
        <v>5506</v>
      </c>
      <c r="N74" s="30">
        <v>31.464265000000001</v>
      </c>
      <c r="O74" s="34">
        <v>110</v>
      </c>
      <c r="P74" s="39">
        <v>7.5999999999999998E-2</v>
      </c>
      <c r="Q74" s="39">
        <v>7.5999999999999998E-2</v>
      </c>
      <c r="R74" s="15">
        <f>L74/N74</f>
        <v>754.50673962986264</v>
      </c>
      <c r="S74" s="15">
        <f>L74/P74</f>
        <v>312368.42105263157</v>
      </c>
      <c r="T74" s="44">
        <f>L74/P74/43560</f>
        <v>7.1709922188391086</v>
      </c>
      <c r="U74" s="39">
        <v>30</v>
      </c>
      <c r="V74" s="6" t="s">
        <v>30</v>
      </c>
      <c r="X74" t="s">
        <v>31</v>
      </c>
      <c r="Y74" s="7" t="s">
        <v>34</v>
      </c>
      <c r="Z74" t="s">
        <v>33</v>
      </c>
    </row>
    <row r="75" spans="1:26" x14ac:dyDescent="0.25">
      <c r="A75" t="s">
        <v>31</v>
      </c>
      <c r="B75" t="s">
        <v>103</v>
      </c>
      <c r="C75" t="s">
        <v>104</v>
      </c>
      <c r="D75" s="25">
        <v>44662</v>
      </c>
      <c r="E75" s="15">
        <v>92000</v>
      </c>
      <c r="F75" t="s">
        <v>25</v>
      </c>
      <c r="G75" t="s">
        <v>29</v>
      </c>
      <c r="H75" s="15">
        <v>92000</v>
      </c>
      <c r="I75" s="15">
        <v>21600</v>
      </c>
      <c r="J75" s="20">
        <f>I75/H75*100</f>
        <v>23.478260869565219</v>
      </c>
      <c r="K75" s="15">
        <v>70075</v>
      </c>
      <c r="L75" s="15">
        <f>H75-63645</f>
        <v>28355</v>
      </c>
      <c r="M75" s="15">
        <v>6430</v>
      </c>
      <c r="N75" s="30">
        <v>36.742345999999998</v>
      </c>
      <c r="O75" s="34">
        <v>100</v>
      </c>
      <c r="P75" s="39">
        <v>0.10299999999999999</v>
      </c>
      <c r="Q75" s="39">
        <v>0.10299999999999999</v>
      </c>
      <c r="R75" s="15">
        <f>L75/N75</f>
        <v>771.72535471741526</v>
      </c>
      <c r="S75" s="15">
        <f>L75/P75</f>
        <v>275291.26213592233</v>
      </c>
      <c r="T75" s="44">
        <f>L75/P75/43560</f>
        <v>6.3198177717153889</v>
      </c>
      <c r="U75" s="39">
        <v>45</v>
      </c>
      <c r="V75" s="6" t="s">
        <v>30</v>
      </c>
      <c r="X75" t="s">
        <v>31</v>
      </c>
      <c r="Y75" s="7" t="s">
        <v>34</v>
      </c>
      <c r="Z75" t="s">
        <v>33</v>
      </c>
    </row>
    <row r="76" spans="1:26" x14ac:dyDescent="0.25">
      <c r="A76" t="s">
        <v>31</v>
      </c>
      <c r="B76" t="s">
        <v>167</v>
      </c>
      <c r="C76" t="s">
        <v>168</v>
      </c>
      <c r="D76" s="25">
        <v>44995</v>
      </c>
      <c r="E76" s="15">
        <v>78000</v>
      </c>
      <c r="F76" t="s">
        <v>25</v>
      </c>
      <c r="G76" t="s">
        <v>29</v>
      </c>
      <c r="H76" s="15">
        <v>78000</v>
      </c>
      <c r="I76" s="15">
        <v>16600</v>
      </c>
      <c r="J76" s="20">
        <f>I76/H76*100</f>
        <v>21.282051282051281</v>
      </c>
      <c r="K76" s="15">
        <v>56304</v>
      </c>
      <c r="L76" s="15">
        <f>H76-50005</f>
        <v>27995</v>
      </c>
      <c r="M76" s="15">
        <v>6299</v>
      </c>
      <c r="N76" s="30">
        <v>35.991666000000002</v>
      </c>
      <c r="O76" s="34">
        <v>100</v>
      </c>
      <c r="P76" s="39">
        <v>0.107</v>
      </c>
      <c r="Q76" s="39">
        <v>0.107</v>
      </c>
      <c r="R76" s="15">
        <f>L76/N76</f>
        <v>777.81895397673441</v>
      </c>
      <c r="S76" s="15">
        <f>L76/P76</f>
        <v>261635.51401869158</v>
      </c>
      <c r="T76" s="44">
        <f>L76/P76/43560</f>
        <v>6.0063249315585763</v>
      </c>
      <c r="U76" s="39">
        <v>36.26</v>
      </c>
      <c r="V76" s="6" t="s">
        <v>30</v>
      </c>
      <c r="X76" t="s">
        <v>31</v>
      </c>
      <c r="Y76" s="7" t="s">
        <v>34</v>
      </c>
      <c r="Z76" t="s">
        <v>33</v>
      </c>
    </row>
    <row r="77" spans="1:26" x14ac:dyDescent="0.25">
      <c r="A77" t="s">
        <v>31</v>
      </c>
      <c r="B77" t="s">
        <v>132</v>
      </c>
      <c r="C77" t="s">
        <v>133</v>
      </c>
      <c r="D77" s="25">
        <v>45373</v>
      </c>
      <c r="E77" s="15">
        <v>110000</v>
      </c>
      <c r="F77" t="s">
        <v>25</v>
      </c>
      <c r="G77" t="s">
        <v>29</v>
      </c>
      <c r="H77" s="15">
        <v>110000</v>
      </c>
      <c r="I77" s="15">
        <v>36200</v>
      </c>
      <c r="J77" s="20">
        <f>I77/H77*100</f>
        <v>32.909090909090907</v>
      </c>
      <c r="K77" s="15">
        <v>90342</v>
      </c>
      <c r="L77" s="15">
        <f>H77-84671</f>
        <v>25329</v>
      </c>
      <c r="M77" s="15">
        <v>5671</v>
      </c>
      <c r="N77" s="30">
        <v>32.403703</v>
      </c>
      <c r="O77" s="34">
        <v>100</v>
      </c>
      <c r="P77" s="39">
        <v>0.08</v>
      </c>
      <c r="Q77" s="39">
        <v>0.08</v>
      </c>
      <c r="R77" s="15">
        <f>L77/N77</f>
        <v>781.66992210735918</v>
      </c>
      <c r="S77" s="15">
        <f>L77/P77</f>
        <v>316612.5</v>
      </c>
      <c r="T77" s="44">
        <f>L77/P77/43560</f>
        <v>7.2684228650137745</v>
      </c>
      <c r="U77" s="39">
        <v>35</v>
      </c>
      <c r="V77" s="6" t="s">
        <v>30</v>
      </c>
      <c r="X77" t="s">
        <v>31</v>
      </c>
      <c r="Y77" s="7" t="s">
        <v>34</v>
      </c>
      <c r="Z77" t="s">
        <v>33</v>
      </c>
    </row>
    <row r="78" spans="1:26" x14ac:dyDescent="0.25">
      <c r="A78" t="s">
        <v>31</v>
      </c>
      <c r="B78" t="s">
        <v>190</v>
      </c>
      <c r="C78" t="s">
        <v>191</v>
      </c>
      <c r="D78" s="25">
        <v>45359</v>
      </c>
      <c r="E78" s="15">
        <v>91000</v>
      </c>
      <c r="F78" t="s">
        <v>25</v>
      </c>
      <c r="G78" t="s">
        <v>29</v>
      </c>
      <c r="H78" s="15">
        <v>91000</v>
      </c>
      <c r="I78" s="15">
        <v>27500</v>
      </c>
      <c r="J78" s="20">
        <f>I78/H78*100</f>
        <v>30.219780219780219</v>
      </c>
      <c r="K78" s="15">
        <v>68897</v>
      </c>
      <c r="L78" s="15">
        <f>H78-62539</f>
        <v>28461</v>
      </c>
      <c r="M78" s="15">
        <v>6358</v>
      </c>
      <c r="N78" s="30">
        <v>36.331803999999998</v>
      </c>
      <c r="O78" s="34">
        <v>110</v>
      </c>
      <c r="P78" s="39">
        <v>0.10100000000000001</v>
      </c>
      <c r="Q78" s="39">
        <v>0.10100000000000001</v>
      </c>
      <c r="R78" s="15">
        <f>L78/N78</f>
        <v>783.36324835397659</v>
      </c>
      <c r="S78" s="15">
        <f>L78/P78</f>
        <v>281792.07920792076</v>
      </c>
      <c r="T78" s="44">
        <f>L78/P78/43560</f>
        <v>6.4690559965087413</v>
      </c>
      <c r="U78" s="39">
        <v>40</v>
      </c>
      <c r="V78" s="6" t="s">
        <v>30</v>
      </c>
      <c r="X78" t="s">
        <v>31</v>
      </c>
      <c r="Y78" s="7" t="s">
        <v>34</v>
      </c>
      <c r="Z78" t="s">
        <v>33</v>
      </c>
    </row>
    <row r="79" spans="1:26" x14ac:dyDescent="0.25">
      <c r="A79" t="s">
        <v>31</v>
      </c>
      <c r="B79" t="s">
        <v>152</v>
      </c>
      <c r="C79" t="s">
        <v>153</v>
      </c>
      <c r="D79" s="25">
        <v>45133</v>
      </c>
      <c r="E79" s="15">
        <v>90000</v>
      </c>
      <c r="F79" t="s">
        <v>25</v>
      </c>
      <c r="G79" t="s">
        <v>29</v>
      </c>
      <c r="H79" s="15">
        <v>90000</v>
      </c>
      <c r="I79" s="15">
        <v>26300</v>
      </c>
      <c r="J79" s="20">
        <f>I79/H79*100</f>
        <v>29.222222222222221</v>
      </c>
      <c r="K79" s="15">
        <v>68278</v>
      </c>
      <c r="L79" s="15">
        <f>H79-62216</f>
        <v>27784</v>
      </c>
      <c r="M79" s="15">
        <v>6062</v>
      </c>
      <c r="N79" s="30">
        <v>34.641016</v>
      </c>
      <c r="O79" s="34">
        <v>100</v>
      </c>
      <c r="P79" s="39">
        <v>9.1999999999999998E-2</v>
      </c>
      <c r="Q79" s="39">
        <v>9.1999999999999998E-2</v>
      </c>
      <c r="R79" s="15">
        <f>L79/N79</f>
        <v>802.05499746312285</v>
      </c>
      <c r="S79" s="15">
        <f>L79/P79</f>
        <v>302000</v>
      </c>
      <c r="T79" s="44">
        <f>L79/P79/43560</f>
        <v>6.9329660238751147</v>
      </c>
      <c r="U79" s="39">
        <v>40</v>
      </c>
      <c r="V79" s="6" t="s">
        <v>30</v>
      </c>
      <c r="X79" t="s">
        <v>31</v>
      </c>
      <c r="Y79" s="7" t="s">
        <v>34</v>
      </c>
      <c r="Z79" t="s">
        <v>33</v>
      </c>
    </row>
    <row r="80" spans="1:26" x14ac:dyDescent="0.25">
      <c r="A80" t="s">
        <v>31</v>
      </c>
      <c r="B80" t="s">
        <v>187</v>
      </c>
      <c r="C80" t="s">
        <v>188</v>
      </c>
      <c r="D80" s="25">
        <v>44971</v>
      </c>
      <c r="E80" s="15">
        <v>135000</v>
      </c>
      <c r="F80" t="s">
        <v>25</v>
      </c>
      <c r="G80" t="s">
        <v>29</v>
      </c>
      <c r="H80" s="15">
        <v>135000</v>
      </c>
      <c r="I80" s="15">
        <v>34300</v>
      </c>
      <c r="J80" s="20">
        <f>I80/H80*100</f>
        <v>25.407407407407405</v>
      </c>
      <c r="K80" s="15">
        <v>93961</v>
      </c>
      <c r="L80" s="15">
        <f>H80-86161</f>
        <v>48839</v>
      </c>
      <c r="M80" s="15">
        <v>7800</v>
      </c>
      <c r="N80" s="30">
        <v>60</v>
      </c>
      <c r="O80" s="34">
        <v>200</v>
      </c>
      <c r="P80" s="39">
        <v>0.13800000000000001</v>
      </c>
      <c r="Q80" s="39">
        <v>6.9000000000000006E-2</v>
      </c>
      <c r="R80" s="15">
        <f>L80/N80</f>
        <v>813.98333333333335</v>
      </c>
      <c r="S80" s="15">
        <f>L80/P80</f>
        <v>353905.79710144922</v>
      </c>
      <c r="T80" s="44">
        <f>L80/P80/43560</f>
        <v>8.124559162108568</v>
      </c>
      <c r="U80" s="39">
        <v>60</v>
      </c>
      <c r="V80" s="6" t="s">
        <v>30</v>
      </c>
      <c r="W80" t="s">
        <v>189</v>
      </c>
      <c r="X80" t="s">
        <v>31</v>
      </c>
      <c r="Y80" s="7" t="s">
        <v>34</v>
      </c>
      <c r="Z80" t="s">
        <v>33</v>
      </c>
    </row>
    <row r="81" spans="1:46" x14ac:dyDescent="0.25">
      <c r="A81" t="s">
        <v>31</v>
      </c>
      <c r="B81" t="s">
        <v>136</v>
      </c>
      <c r="C81" t="s">
        <v>137</v>
      </c>
      <c r="D81" s="25">
        <v>45315</v>
      </c>
      <c r="E81" s="15">
        <v>120000</v>
      </c>
      <c r="F81" t="s">
        <v>25</v>
      </c>
      <c r="G81" t="s">
        <v>29</v>
      </c>
      <c r="H81" s="15">
        <v>120000</v>
      </c>
      <c r="I81" s="15">
        <v>39100</v>
      </c>
      <c r="J81" s="20">
        <f>I81/H81*100</f>
        <v>32.583333333333329</v>
      </c>
      <c r="K81" s="15">
        <v>97550</v>
      </c>
      <c r="L81" s="15">
        <f>H81-92300</f>
        <v>27700</v>
      </c>
      <c r="M81" s="15">
        <v>5250</v>
      </c>
      <c r="N81" s="30">
        <v>30</v>
      </c>
      <c r="O81" s="34">
        <v>100</v>
      </c>
      <c r="P81" s="39">
        <v>6.9000000000000006E-2</v>
      </c>
      <c r="Q81" s="39">
        <v>6.9000000000000006E-2</v>
      </c>
      <c r="R81" s="15">
        <f>L81/N81</f>
        <v>923.33333333333337</v>
      </c>
      <c r="S81" s="15">
        <f>L81/P81</f>
        <v>401449.27536231879</v>
      </c>
      <c r="T81" s="44">
        <f>L81/P81/43560</f>
        <v>9.2160072397226536</v>
      </c>
      <c r="U81" s="39">
        <v>30</v>
      </c>
      <c r="V81" s="6" t="s">
        <v>30</v>
      </c>
      <c r="X81" t="s">
        <v>31</v>
      </c>
      <c r="Y81" s="7" t="s">
        <v>34</v>
      </c>
      <c r="Z81" t="s">
        <v>33</v>
      </c>
    </row>
    <row r="82" spans="1:46" x14ac:dyDescent="0.25">
      <c r="A82" t="s">
        <v>31</v>
      </c>
      <c r="B82" t="s">
        <v>177</v>
      </c>
      <c r="C82" t="s">
        <v>178</v>
      </c>
      <c r="D82" s="25">
        <v>44729</v>
      </c>
      <c r="E82" s="15">
        <v>112000</v>
      </c>
      <c r="F82" t="s">
        <v>25</v>
      </c>
      <c r="G82" t="s">
        <v>29</v>
      </c>
      <c r="H82" s="15">
        <v>112000</v>
      </c>
      <c r="I82" s="15">
        <v>25200</v>
      </c>
      <c r="J82" s="20">
        <f>I82/H82*100</f>
        <v>22.5</v>
      </c>
      <c r="K82" s="15">
        <v>81576</v>
      </c>
      <c r="L82" s="15">
        <f>H82-74831</f>
        <v>37169</v>
      </c>
      <c r="M82" s="15">
        <v>6745</v>
      </c>
      <c r="N82" s="30">
        <v>38.542704000000001</v>
      </c>
      <c r="O82" s="34">
        <v>110.040001</v>
      </c>
      <c r="P82" s="39">
        <v>0.114</v>
      </c>
      <c r="Q82" s="39">
        <v>0.114</v>
      </c>
      <c r="R82" s="15">
        <f>L82/N82</f>
        <v>964.35890953577098</v>
      </c>
      <c r="S82" s="15">
        <f>L82/P82</f>
        <v>326043.85964912281</v>
      </c>
      <c r="T82" s="44">
        <f>L82/P82/43560</f>
        <v>7.4849370902002486</v>
      </c>
      <c r="U82" s="39">
        <v>45</v>
      </c>
      <c r="V82" s="6" t="s">
        <v>30</v>
      </c>
      <c r="X82" t="s">
        <v>31</v>
      </c>
      <c r="Y82" s="7" t="s">
        <v>34</v>
      </c>
      <c r="Z82" t="s">
        <v>33</v>
      </c>
    </row>
    <row r="83" spans="1:46" x14ac:dyDescent="0.25">
      <c r="A83" t="s">
        <v>31</v>
      </c>
      <c r="B83" t="s">
        <v>142</v>
      </c>
      <c r="C83" t="s">
        <v>143</v>
      </c>
      <c r="D83" s="25">
        <v>44789</v>
      </c>
      <c r="E83" s="15">
        <v>115000</v>
      </c>
      <c r="F83" t="s">
        <v>25</v>
      </c>
      <c r="G83" t="s">
        <v>29</v>
      </c>
      <c r="H83" s="15">
        <v>115000</v>
      </c>
      <c r="I83" s="15">
        <v>26800</v>
      </c>
      <c r="J83" s="20">
        <f>I83/H83*100</f>
        <v>23.304347826086957</v>
      </c>
      <c r="K83" s="15">
        <v>87483</v>
      </c>
      <c r="L83" s="15">
        <f>H83-81421</f>
        <v>33579</v>
      </c>
      <c r="M83" s="15">
        <v>6062</v>
      </c>
      <c r="N83" s="30">
        <v>34.641016</v>
      </c>
      <c r="O83" s="34">
        <v>100</v>
      </c>
      <c r="P83" s="39">
        <v>9.1999999999999998E-2</v>
      </c>
      <c r="Q83" s="39">
        <v>9.1999999999999998E-2</v>
      </c>
      <c r="R83" s="15">
        <f>L83/N83</f>
        <v>969.34223869184439</v>
      </c>
      <c r="S83" s="15">
        <f>L83/P83</f>
        <v>364989.13043478259</v>
      </c>
      <c r="T83" s="44">
        <f>L83/P83/43560</f>
        <v>8.3789974847287105</v>
      </c>
      <c r="U83" s="39">
        <v>40</v>
      </c>
      <c r="V83" s="6" t="s">
        <v>30</v>
      </c>
      <c r="X83" t="s">
        <v>31</v>
      </c>
      <c r="Y83" s="7" t="s">
        <v>34</v>
      </c>
      <c r="Z83" t="s">
        <v>33</v>
      </c>
    </row>
    <row r="84" spans="1:46" x14ac:dyDescent="0.25">
      <c r="A84" t="s">
        <v>31</v>
      </c>
      <c r="B84" t="s">
        <v>216</v>
      </c>
      <c r="C84" t="s">
        <v>217</v>
      </c>
      <c r="D84" s="25">
        <v>44747</v>
      </c>
      <c r="E84" s="15">
        <v>82999</v>
      </c>
      <c r="F84" t="s">
        <v>25</v>
      </c>
      <c r="G84" t="s">
        <v>29</v>
      </c>
      <c r="H84" s="15">
        <v>82999</v>
      </c>
      <c r="I84" s="15">
        <v>16800</v>
      </c>
      <c r="J84" s="20">
        <f>I84/H84*100</f>
        <v>20.241207725394279</v>
      </c>
      <c r="K84" s="15">
        <v>54487</v>
      </c>
      <c r="L84" s="15">
        <f>H84-48290</f>
        <v>34709</v>
      </c>
      <c r="M84" s="15">
        <v>6197</v>
      </c>
      <c r="N84" s="30">
        <v>35.411861999999999</v>
      </c>
      <c r="O84" s="34">
        <v>110</v>
      </c>
      <c r="P84" s="39">
        <v>9.6000000000000002E-2</v>
      </c>
      <c r="Q84" s="39">
        <v>9.6000000000000002E-2</v>
      </c>
      <c r="R84" s="15">
        <f>L84/N84</f>
        <v>980.15179207464439</v>
      </c>
      <c r="S84" s="15">
        <f>L84/P84</f>
        <v>361552.08333333331</v>
      </c>
      <c r="T84" s="44">
        <f>L84/P84/43560</f>
        <v>8.3000937404346491</v>
      </c>
      <c r="U84" s="39">
        <v>38</v>
      </c>
      <c r="V84" s="6" t="s">
        <v>30</v>
      </c>
      <c r="X84" t="s">
        <v>31</v>
      </c>
      <c r="Y84" s="7" t="s">
        <v>34</v>
      </c>
      <c r="Z84" t="s">
        <v>33</v>
      </c>
    </row>
    <row r="85" spans="1:46" x14ac:dyDescent="0.25">
      <c r="A85" t="s">
        <v>31</v>
      </c>
      <c r="B85" t="s">
        <v>128</v>
      </c>
      <c r="C85" t="s">
        <v>129</v>
      </c>
      <c r="D85" s="25">
        <v>44939</v>
      </c>
      <c r="E85" s="15">
        <v>100000</v>
      </c>
      <c r="F85" t="s">
        <v>41</v>
      </c>
      <c r="G85" t="s">
        <v>29</v>
      </c>
      <c r="H85" s="15">
        <v>100000</v>
      </c>
      <c r="I85" s="15">
        <v>23000</v>
      </c>
      <c r="J85" s="20">
        <f>I85/H85*100</f>
        <v>23</v>
      </c>
      <c r="K85" s="15">
        <v>73881</v>
      </c>
      <c r="L85" s="15">
        <f>H85-68210</f>
        <v>31790</v>
      </c>
      <c r="M85" s="15">
        <v>5671</v>
      </c>
      <c r="N85" s="30">
        <v>32.403703</v>
      </c>
      <c r="O85" s="34">
        <v>100</v>
      </c>
      <c r="P85" s="39">
        <v>0.08</v>
      </c>
      <c r="Q85" s="39">
        <v>0.08</v>
      </c>
      <c r="R85" s="15">
        <f>L85/N85</f>
        <v>981.06071395605625</v>
      </c>
      <c r="S85" s="15">
        <f>L85/P85</f>
        <v>397375</v>
      </c>
      <c r="T85" s="44">
        <f>L85/P85/43560</f>
        <v>9.1224747474747474</v>
      </c>
      <c r="U85" s="39">
        <v>35</v>
      </c>
      <c r="V85" s="6" t="s">
        <v>30</v>
      </c>
      <c r="X85" t="s">
        <v>31</v>
      </c>
      <c r="Y85" s="7" t="s">
        <v>34</v>
      </c>
      <c r="Z85" t="s">
        <v>33</v>
      </c>
    </row>
    <row r="86" spans="1:46" ht="15.75" thickBot="1" x14ac:dyDescent="0.3">
      <c r="A86" t="s">
        <v>31</v>
      </c>
      <c r="B86" t="s">
        <v>126</v>
      </c>
      <c r="C86" t="s">
        <v>127</v>
      </c>
      <c r="D86" s="25">
        <v>44827</v>
      </c>
      <c r="E86" s="15">
        <v>132000</v>
      </c>
      <c r="F86" t="s">
        <v>41</v>
      </c>
      <c r="G86" t="s">
        <v>29</v>
      </c>
      <c r="H86" s="15">
        <v>132000</v>
      </c>
      <c r="I86" s="15">
        <v>31500</v>
      </c>
      <c r="J86" s="20">
        <f>I86/H86*100</f>
        <v>23.863636363636363</v>
      </c>
      <c r="K86" s="15">
        <v>102006</v>
      </c>
      <c r="L86" s="15">
        <f>H86-95576</f>
        <v>36424</v>
      </c>
      <c r="M86" s="15">
        <v>6430</v>
      </c>
      <c r="N86" s="30">
        <v>36.742345999999998</v>
      </c>
      <c r="O86" s="34">
        <v>100</v>
      </c>
      <c r="P86" s="39">
        <v>0.10299999999999999</v>
      </c>
      <c r="Q86" s="39">
        <v>0.10299999999999999</v>
      </c>
      <c r="R86" s="15">
        <f>L86/N86</f>
        <v>991.33571928150707</v>
      </c>
      <c r="S86" s="15">
        <f>L86/P86</f>
        <v>353631.06796116504</v>
      </c>
      <c r="T86" s="44">
        <f>L86/P86/43560</f>
        <v>8.1182522488789033</v>
      </c>
      <c r="U86" s="39">
        <v>45</v>
      </c>
      <c r="V86" s="6" t="s">
        <v>30</v>
      </c>
      <c r="X86" t="s">
        <v>31</v>
      </c>
      <c r="Y86" s="7" t="s">
        <v>34</v>
      </c>
      <c r="Z86" t="s">
        <v>33</v>
      </c>
    </row>
    <row r="87" spans="1:46" ht="15.75" thickTop="1" x14ac:dyDescent="0.25">
      <c r="A87" s="8"/>
      <c r="B87" s="8"/>
      <c r="C87" s="8"/>
      <c r="D87" s="26" t="s">
        <v>222</v>
      </c>
      <c r="E87" s="16">
        <f>+SUM(E5:E86)</f>
        <v>5977874</v>
      </c>
      <c r="F87" s="8"/>
      <c r="G87" s="8"/>
      <c r="H87" s="16">
        <f>+SUM(H5:H86)</f>
        <v>5977874</v>
      </c>
      <c r="I87" s="16">
        <f>+SUM(I5:I86)</f>
        <v>2014000</v>
      </c>
      <c r="J87" s="21"/>
      <c r="K87" s="16">
        <f>+SUM(K5:K86)</f>
        <v>5836328</v>
      </c>
      <c r="L87" s="16">
        <f>+SUM(L5:L86)</f>
        <v>668910</v>
      </c>
      <c r="M87" s="16">
        <f>+SUM(M5:M86)</f>
        <v>527364</v>
      </c>
      <c r="N87" s="31">
        <f>+SUM(N5:N86)</f>
        <v>3131.4103270000001</v>
      </c>
      <c r="O87" s="35"/>
      <c r="P87" s="40">
        <f>+SUM(P5:P86)</f>
        <v>8.7409999999999961</v>
      </c>
      <c r="Q87" s="40">
        <f>+SUM(Q5:Q86)</f>
        <v>8.2229999999999936</v>
      </c>
      <c r="R87" s="16"/>
      <c r="S87" s="16"/>
      <c r="T87" s="45"/>
      <c r="U87" s="40"/>
      <c r="V87" s="9"/>
      <c r="W87" s="8"/>
      <c r="X87" s="8"/>
      <c r="Y87" s="8"/>
      <c r="Z87" s="8"/>
    </row>
    <row r="88" spans="1:46" x14ac:dyDescent="0.25">
      <c r="A88" s="10"/>
      <c r="B88" s="10"/>
      <c r="C88" s="10"/>
      <c r="D88" s="27"/>
      <c r="E88" s="17"/>
      <c r="F88" s="10"/>
      <c r="G88" s="10"/>
      <c r="H88" s="17"/>
      <c r="I88" s="17" t="s">
        <v>223</v>
      </c>
      <c r="J88" s="22">
        <f>I87/H87*100</f>
        <v>33.690907503236097</v>
      </c>
      <c r="K88" s="17"/>
      <c r="L88" s="17"/>
      <c r="M88" s="17" t="s">
        <v>224</v>
      </c>
      <c r="N88" s="32"/>
      <c r="O88" s="36"/>
      <c r="P88" s="41" t="s">
        <v>224</v>
      </c>
      <c r="Q88" s="41"/>
      <c r="R88" s="17"/>
      <c r="S88" s="17" t="s">
        <v>224</v>
      </c>
      <c r="T88" s="46"/>
      <c r="U88" s="41"/>
      <c r="V88" s="11"/>
      <c r="W88" s="10"/>
      <c r="X88" s="10"/>
      <c r="Y88" s="10"/>
      <c r="Z88" s="10"/>
    </row>
    <row r="89" spans="1:46" x14ac:dyDescent="0.25">
      <c r="A89" s="12"/>
      <c r="B89" s="12"/>
      <c r="C89" s="12"/>
      <c r="D89" s="28"/>
      <c r="E89" s="18"/>
      <c r="F89" s="12"/>
      <c r="G89" s="12"/>
      <c r="H89" s="18"/>
      <c r="I89" s="18" t="s">
        <v>225</v>
      </c>
      <c r="J89" s="23">
        <f>STDEV(J5:J86)</f>
        <v>21.461535258454511</v>
      </c>
      <c r="K89" s="18"/>
      <c r="L89" s="18"/>
      <c r="M89" s="18" t="s">
        <v>226</v>
      </c>
      <c r="N89" s="48">
        <f>L87/N87</f>
        <v>213.61301463192115</v>
      </c>
      <c r="O89" s="37"/>
      <c r="P89" s="42" t="s">
        <v>227</v>
      </c>
      <c r="Q89" s="42">
        <f>L87/P87</f>
        <v>76525.569156847079</v>
      </c>
      <c r="R89" s="18"/>
      <c r="S89" s="18" t="s">
        <v>228</v>
      </c>
      <c r="T89" s="47">
        <f>L87/P87/43560</f>
        <v>1.7567853341792259</v>
      </c>
      <c r="U89" s="42"/>
      <c r="V89" s="13"/>
      <c r="W89" s="12"/>
      <c r="X89" s="12"/>
      <c r="Y89" s="12"/>
      <c r="Z89" s="12"/>
    </row>
    <row r="90" spans="1:46" x14ac:dyDescent="0.25">
      <c r="L90" s="53" t="s">
        <v>233</v>
      </c>
      <c r="M90" s="53"/>
    </row>
    <row r="91" spans="1:46" x14ac:dyDescent="0.25">
      <c r="L91" s="53" t="s">
        <v>235</v>
      </c>
      <c r="M91" s="53"/>
    </row>
    <row r="92" spans="1:46" x14ac:dyDescent="0.25">
      <c r="L92" s="53" t="s">
        <v>236</v>
      </c>
      <c r="M92" s="53"/>
    </row>
    <row r="94" spans="1:46" x14ac:dyDescent="0.25">
      <c r="A94" s="1" t="s">
        <v>231</v>
      </c>
    </row>
    <row r="95" spans="1:46" x14ac:dyDescent="0.25">
      <c r="A95" s="2" t="s">
        <v>22</v>
      </c>
      <c r="B95" s="2" t="s">
        <v>0</v>
      </c>
      <c r="C95" s="2" t="s">
        <v>1</v>
      </c>
      <c r="D95" s="24" t="s">
        <v>2</v>
      </c>
      <c r="E95" s="14" t="s">
        <v>3</v>
      </c>
      <c r="F95" s="2" t="s">
        <v>4</v>
      </c>
      <c r="G95" s="2" t="s">
        <v>5</v>
      </c>
      <c r="H95" s="14" t="s">
        <v>6</v>
      </c>
      <c r="I95" s="14" t="s">
        <v>7</v>
      </c>
      <c r="J95" s="19" t="s">
        <v>8</v>
      </c>
      <c r="K95" s="14" t="s">
        <v>9</v>
      </c>
      <c r="L95" s="14" t="s">
        <v>10</v>
      </c>
      <c r="M95" s="14" t="s">
        <v>11</v>
      </c>
      <c r="N95" s="29" t="s">
        <v>12</v>
      </c>
      <c r="O95" s="33" t="s">
        <v>13</v>
      </c>
      <c r="P95" s="38" t="s">
        <v>14</v>
      </c>
      <c r="Q95" s="38" t="s">
        <v>15</v>
      </c>
      <c r="R95" s="14" t="s">
        <v>16</v>
      </c>
      <c r="S95" s="14" t="s">
        <v>17</v>
      </c>
      <c r="T95" s="43" t="s">
        <v>18</v>
      </c>
      <c r="U95" s="38" t="s">
        <v>19</v>
      </c>
      <c r="V95" s="4" t="s">
        <v>20</v>
      </c>
      <c r="W95" s="2" t="s">
        <v>21</v>
      </c>
      <c r="X95" s="2" t="s">
        <v>22</v>
      </c>
      <c r="Y95" s="2" t="s">
        <v>23</v>
      </c>
      <c r="Z95" s="2" t="s">
        <v>24</v>
      </c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25">
      <c r="A96" t="s">
        <v>45</v>
      </c>
      <c r="B96" t="s">
        <v>42</v>
      </c>
      <c r="C96" t="s">
        <v>43</v>
      </c>
      <c r="D96" s="25">
        <v>44757</v>
      </c>
      <c r="E96" s="15">
        <v>27747</v>
      </c>
      <c r="F96" t="s">
        <v>41</v>
      </c>
      <c r="G96" t="s">
        <v>29</v>
      </c>
      <c r="H96" s="15">
        <v>27747</v>
      </c>
      <c r="I96" s="15">
        <v>14000</v>
      </c>
      <c r="J96" s="20">
        <f>I96/H96*100</f>
        <v>50.455905142898331</v>
      </c>
      <c r="K96" s="15">
        <v>43970</v>
      </c>
      <c r="L96" s="15">
        <f>H96-40352</f>
        <v>-12605</v>
      </c>
      <c r="M96" s="15">
        <v>3618</v>
      </c>
      <c r="N96" s="30">
        <v>36.181361000000003</v>
      </c>
      <c r="O96" s="34">
        <v>160</v>
      </c>
      <c r="P96" s="39">
        <v>0.11</v>
      </c>
      <c r="Q96" s="39">
        <v>0.11</v>
      </c>
      <c r="R96" s="15">
        <f>L96/N96</f>
        <v>-348.38379905056638</v>
      </c>
      <c r="S96" s="15">
        <f>L96/P96</f>
        <v>-114590.90909090909</v>
      </c>
      <c r="T96" s="44">
        <f>L96/P96/43560</f>
        <v>-2.6306452959345519</v>
      </c>
      <c r="U96" s="39">
        <v>30</v>
      </c>
      <c r="V96" s="6" t="s">
        <v>44</v>
      </c>
      <c r="X96" t="s">
        <v>45</v>
      </c>
      <c r="Y96" s="7" t="s">
        <v>34</v>
      </c>
      <c r="Z96" t="s">
        <v>46</v>
      </c>
    </row>
    <row r="97" spans="1:46" x14ac:dyDescent="0.25">
      <c r="A97" t="s">
        <v>45</v>
      </c>
      <c r="B97" t="s">
        <v>42</v>
      </c>
      <c r="C97" t="s">
        <v>43</v>
      </c>
      <c r="D97" s="25">
        <v>45078</v>
      </c>
      <c r="E97" s="15">
        <v>52000</v>
      </c>
      <c r="F97" t="s">
        <v>41</v>
      </c>
      <c r="G97" t="s">
        <v>29</v>
      </c>
      <c r="H97" s="15">
        <v>52000</v>
      </c>
      <c r="I97" s="15">
        <v>19000</v>
      </c>
      <c r="J97" s="20">
        <f>I97/H97*100</f>
        <v>36.538461538461533</v>
      </c>
      <c r="K97" s="15">
        <v>43970</v>
      </c>
      <c r="L97" s="15">
        <f>H97-40352</f>
        <v>11648</v>
      </c>
      <c r="M97" s="15">
        <v>3618</v>
      </c>
      <c r="N97" s="30">
        <v>36.181361000000003</v>
      </c>
      <c r="O97" s="34">
        <v>160</v>
      </c>
      <c r="P97" s="39">
        <v>0.11</v>
      </c>
      <c r="Q97" s="39">
        <v>0.11</v>
      </c>
      <c r="R97" s="15">
        <f>L97/N97</f>
        <v>321.93371609210607</v>
      </c>
      <c r="S97" s="15">
        <f>L97/P97</f>
        <v>105890.90909090909</v>
      </c>
      <c r="T97" s="44">
        <f>L97/P97/43560</f>
        <v>2.430920778028216</v>
      </c>
      <c r="U97" s="39">
        <v>30</v>
      </c>
      <c r="V97" s="6" t="s">
        <v>44</v>
      </c>
      <c r="X97" t="s">
        <v>45</v>
      </c>
      <c r="Y97" s="7" t="s">
        <v>34</v>
      </c>
      <c r="Z97" t="s">
        <v>46</v>
      </c>
    </row>
    <row r="98" spans="1:46" ht="15.75" thickBot="1" x14ac:dyDescent="0.3">
      <c r="A98" t="s">
        <v>45</v>
      </c>
      <c r="B98" t="s">
        <v>47</v>
      </c>
      <c r="C98" t="s">
        <v>48</v>
      </c>
      <c r="D98" s="25">
        <v>44693</v>
      </c>
      <c r="E98" s="15">
        <v>103000</v>
      </c>
      <c r="F98" t="s">
        <v>25</v>
      </c>
      <c r="G98" t="s">
        <v>49</v>
      </c>
      <c r="H98" s="15">
        <v>103000</v>
      </c>
      <c r="I98" s="15">
        <v>32400</v>
      </c>
      <c r="J98" s="20">
        <f>I98/H98*100</f>
        <v>31.456310679611647</v>
      </c>
      <c r="K98" s="15">
        <v>99486</v>
      </c>
      <c r="L98" s="15">
        <f>H98-96626</f>
        <v>6374</v>
      </c>
      <c r="M98" s="15">
        <v>2860</v>
      </c>
      <c r="N98" s="30">
        <v>28.603878000000002</v>
      </c>
      <c r="O98" s="34">
        <v>100</v>
      </c>
      <c r="P98" s="39">
        <v>6.9000000000000006E-2</v>
      </c>
      <c r="Q98" s="39">
        <v>6.9000000000000006E-2</v>
      </c>
      <c r="R98" s="15">
        <f>L98/N98</f>
        <v>222.83691742776975</v>
      </c>
      <c r="S98" s="15">
        <f>L98/P98</f>
        <v>92376.811594202896</v>
      </c>
      <c r="T98" s="44">
        <f>L98/P98/43560</f>
        <v>2.1206797886639785</v>
      </c>
      <c r="U98" s="39">
        <v>30</v>
      </c>
      <c r="V98" s="6" t="s">
        <v>44</v>
      </c>
      <c r="X98" t="s">
        <v>45</v>
      </c>
      <c r="Y98" s="7" t="s">
        <v>34</v>
      </c>
      <c r="Z98" t="s">
        <v>46</v>
      </c>
    </row>
    <row r="99" spans="1:46" ht="15.75" thickTop="1" x14ac:dyDescent="0.25">
      <c r="A99" s="8"/>
      <c r="B99" s="8"/>
      <c r="C99" s="8"/>
      <c r="D99" s="26" t="s">
        <v>222</v>
      </c>
      <c r="E99" s="16">
        <f>+SUM(E96:E98)</f>
        <v>182747</v>
      </c>
      <c r="F99" s="8"/>
      <c r="G99" s="8"/>
      <c r="H99" s="16">
        <f>+SUM(H96:H98)</f>
        <v>182747</v>
      </c>
      <c r="I99" s="16">
        <f>+SUM(I96:I98)</f>
        <v>65400</v>
      </c>
      <c r="J99" s="21"/>
      <c r="K99" s="16">
        <f>+SUM(K96:K98)</f>
        <v>187426</v>
      </c>
      <c r="L99" s="16">
        <f>+SUM(L96:L98)</f>
        <v>5417</v>
      </c>
      <c r="M99" s="16">
        <f>+SUM(M96:M98)</f>
        <v>10096</v>
      </c>
      <c r="N99" s="31">
        <f>+SUM(N96:N98)</f>
        <v>100.9666</v>
      </c>
      <c r="O99" s="35"/>
      <c r="P99" s="40">
        <f>+SUM(P96:P98)</f>
        <v>0.28900000000000003</v>
      </c>
      <c r="Q99" s="40">
        <f>+SUM(Q96:Q98)</f>
        <v>0.28900000000000003</v>
      </c>
      <c r="R99" s="16"/>
      <c r="S99" s="16"/>
      <c r="T99" s="45"/>
      <c r="U99" s="40"/>
      <c r="V99" s="9"/>
      <c r="W99" s="8"/>
      <c r="X99" s="8"/>
      <c r="Y99" s="8"/>
      <c r="Z99" s="8"/>
    </row>
    <row r="100" spans="1:46" x14ac:dyDescent="0.25">
      <c r="A100" s="10"/>
      <c r="B100" s="10"/>
      <c r="C100" s="10"/>
      <c r="D100" s="27"/>
      <c r="E100" s="17"/>
      <c r="F100" s="10"/>
      <c r="G100" s="10"/>
      <c r="H100" s="17"/>
      <c r="I100" s="17" t="s">
        <v>223</v>
      </c>
      <c r="J100" s="22">
        <f>I99/H99*100</f>
        <v>35.787181184916847</v>
      </c>
      <c r="K100" s="17"/>
      <c r="L100" s="17"/>
      <c r="M100" s="17" t="s">
        <v>224</v>
      </c>
      <c r="N100" s="32"/>
      <c r="O100" s="36"/>
      <c r="P100" s="41" t="s">
        <v>224</v>
      </c>
      <c r="Q100" s="41"/>
      <c r="R100" s="17"/>
      <c r="S100" s="17" t="s">
        <v>224</v>
      </c>
      <c r="T100" s="46"/>
      <c r="U100" s="41"/>
      <c r="V100" s="11"/>
      <c r="W100" s="10"/>
      <c r="X100" s="10"/>
      <c r="Y100" s="10"/>
      <c r="Z100" s="10"/>
    </row>
    <row r="101" spans="1:46" x14ac:dyDescent="0.25">
      <c r="A101" s="12"/>
      <c r="B101" s="12"/>
      <c r="C101" s="12"/>
      <c r="D101" s="28"/>
      <c r="E101" s="18"/>
      <c r="F101" s="12"/>
      <c r="G101" s="12"/>
      <c r="H101" s="18"/>
      <c r="I101" s="18" t="s">
        <v>225</v>
      </c>
      <c r="J101" s="23">
        <f>STDEV(J96:J98)</f>
        <v>9.8362262716631719</v>
      </c>
      <c r="K101" s="18"/>
      <c r="L101" s="18"/>
      <c r="M101" s="18" t="s">
        <v>226</v>
      </c>
      <c r="N101" s="48">
        <f>L99/N99</f>
        <v>53.651405514298787</v>
      </c>
      <c r="O101" s="37"/>
      <c r="P101" s="42" t="s">
        <v>227</v>
      </c>
      <c r="Q101" s="42">
        <f>L99/P99</f>
        <v>18743.944636678199</v>
      </c>
      <c r="R101" s="18"/>
      <c r="S101" s="18" t="s">
        <v>228</v>
      </c>
      <c r="T101" s="47">
        <f>L99/P99/43560</f>
        <v>0.43030175933604681</v>
      </c>
      <c r="U101" s="42"/>
      <c r="V101" s="13"/>
      <c r="W101" s="12"/>
      <c r="X101" s="12"/>
      <c r="Y101" s="12"/>
      <c r="Z101" s="12"/>
    </row>
    <row r="102" spans="1:46" x14ac:dyDescent="0.25">
      <c r="L102" s="53" t="s">
        <v>233</v>
      </c>
      <c r="M102" s="53"/>
      <c r="N102" s="54"/>
      <c r="O102" s="55"/>
    </row>
    <row r="103" spans="1:46" x14ac:dyDescent="0.25">
      <c r="L103" s="53" t="s">
        <v>238</v>
      </c>
      <c r="M103" s="53"/>
      <c r="N103" s="54"/>
      <c r="O103" s="55"/>
    </row>
    <row r="104" spans="1:46" x14ac:dyDescent="0.25">
      <c r="L104" s="53" t="s">
        <v>239</v>
      </c>
      <c r="M104" s="53"/>
      <c r="N104" s="54"/>
      <c r="O104" s="55"/>
    </row>
    <row r="105" spans="1:46" x14ac:dyDescent="0.25">
      <c r="L105" s="53" t="s">
        <v>240</v>
      </c>
      <c r="M105" s="53"/>
      <c r="N105" s="54"/>
      <c r="O105" s="55"/>
    </row>
    <row r="109" spans="1:46" x14ac:dyDescent="0.25">
      <c r="A109" s="1" t="s">
        <v>232</v>
      </c>
    </row>
    <row r="110" spans="1:46" x14ac:dyDescent="0.25">
      <c r="A110" s="2" t="s">
        <v>22</v>
      </c>
      <c r="B110" s="2" t="s">
        <v>0</v>
      </c>
      <c r="C110" s="2" t="s">
        <v>1</v>
      </c>
      <c r="D110" s="24" t="s">
        <v>2</v>
      </c>
      <c r="E110" s="14" t="s">
        <v>3</v>
      </c>
      <c r="F110" s="2" t="s">
        <v>4</v>
      </c>
      <c r="G110" s="2" t="s">
        <v>5</v>
      </c>
      <c r="H110" s="14" t="s">
        <v>6</v>
      </c>
      <c r="I110" s="14" t="s">
        <v>7</v>
      </c>
      <c r="J110" s="19" t="s">
        <v>8</v>
      </c>
      <c r="K110" s="14" t="s">
        <v>9</v>
      </c>
      <c r="L110" s="14" t="s">
        <v>10</v>
      </c>
      <c r="M110" s="14" t="s">
        <v>11</v>
      </c>
      <c r="N110" s="29" t="s">
        <v>12</v>
      </c>
      <c r="O110" s="33" t="s">
        <v>13</v>
      </c>
      <c r="P110" s="38" t="s">
        <v>14</v>
      </c>
      <c r="Q110" s="38" t="s">
        <v>15</v>
      </c>
      <c r="R110" s="14" t="s">
        <v>16</v>
      </c>
      <c r="S110" s="14" t="s">
        <v>17</v>
      </c>
      <c r="T110" s="43" t="s">
        <v>18</v>
      </c>
      <c r="U110" s="38" t="s">
        <v>19</v>
      </c>
      <c r="V110" s="4" t="s">
        <v>20</v>
      </c>
      <c r="W110" s="2" t="s">
        <v>21</v>
      </c>
      <c r="X110" s="2" t="s">
        <v>22</v>
      </c>
      <c r="Y110" s="2" t="s">
        <v>23</v>
      </c>
      <c r="Z110" s="2" t="s">
        <v>24</v>
      </c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25">
      <c r="A111" t="s">
        <v>209</v>
      </c>
      <c r="B111" t="s">
        <v>206</v>
      </c>
      <c r="C111" t="s">
        <v>207</v>
      </c>
      <c r="D111" s="25">
        <v>44753</v>
      </c>
      <c r="E111" s="15">
        <v>50000</v>
      </c>
      <c r="F111" t="s">
        <v>25</v>
      </c>
      <c r="G111" t="s">
        <v>29</v>
      </c>
      <c r="H111" s="15">
        <v>50000</v>
      </c>
      <c r="I111" s="15">
        <v>22500</v>
      </c>
      <c r="J111" s="20">
        <f>I111/H111*100</f>
        <v>45</v>
      </c>
      <c r="K111" s="15">
        <v>74526</v>
      </c>
      <c r="L111" s="15">
        <f>H111-66542</f>
        <v>-16542</v>
      </c>
      <c r="M111" s="15">
        <v>7984</v>
      </c>
      <c r="N111" s="30">
        <v>53.229503000000001</v>
      </c>
      <c r="O111" s="34">
        <v>104.94000200000001</v>
      </c>
      <c r="P111" s="39">
        <v>0.14499999999999999</v>
      </c>
      <c r="Q111" s="39">
        <v>0.14499999999999999</v>
      </c>
      <c r="R111" s="15">
        <f>L111/N111</f>
        <v>-310.76750801148751</v>
      </c>
      <c r="S111" s="15">
        <f>L111/P111</f>
        <v>-114082.75862068967</v>
      </c>
      <c r="T111" s="44">
        <f>L111/P111/43560</f>
        <v>-2.6189797663151899</v>
      </c>
      <c r="U111" s="39">
        <v>60</v>
      </c>
      <c r="V111" s="6" t="s">
        <v>208</v>
      </c>
      <c r="X111" t="s">
        <v>209</v>
      </c>
      <c r="Y111" s="7" t="s">
        <v>34</v>
      </c>
      <c r="Z111" t="s">
        <v>33</v>
      </c>
    </row>
    <row r="112" spans="1:46" x14ac:dyDescent="0.25">
      <c r="A112" t="s">
        <v>209</v>
      </c>
      <c r="B112" t="s">
        <v>210</v>
      </c>
      <c r="C112" t="s">
        <v>211</v>
      </c>
      <c r="D112" s="25">
        <v>45112</v>
      </c>
      <c r="E112" s="15">
        <v>72000</v>
      </c>
      <c r="F112" t="s">
        <v>41</v>
      </c>
      <c r="G112" t="s">
        <v>29</v>
      </c>
      <c r="H112" s="15">
        <v>72000</v>
      </c>
      <c r="I112" s="15">
        <v>25400</v>
      </c>
      <c r="J112" s="20">
        <f>I112/H112*100</f>
        <v>35.277777777777779</v>
      </c>
      <c r="K112" s="15">
        <v>63479</v>
      </c>
      <c r="L112" s="15">
        <f>H112-56562</f>
        <v>15438</v>
      </c>
      <c r="M112" s="15">
        <v>6917</v>
      </c>
      <c r="N112" s="30">
        <v>46.111277999999999</v>
      </c>
      <c r="O112" s="34">
        <v>105</v>
      </c>
      <c r="P112" s="39">
        <v>0.108</v>
      </c>
      <c r="Q112" s="39">
        <v>0.108</v>
      </c>
      <c r="R112" s="15">
        <f>L112/N112</f>
        <v>334.79878827040972</v>
      </c>
      <c r="S112" s="15">
        <f>L112/P112</f>
        <v>142944.44444444444</v>
      </c>
      <c r="T112" s="44">
        <f>L112/P112/43560</f>
        <v>3.2815529027650236</v>
      </c>
      <c r="U112" s="39">
        <v>45</v>
      </c>
      <c r="V112" s="6" t="s">
        <v>208</v>
      </c>
      <c r="X112" t="s">
        <v>209</v>
      </c>
      <c r="Y112" s="7" t="s">
        <v>34</v>
      </c>
      <c r="Z112" t="s">
        <v>33</v>
      </c>
    </row>
    <row r="113" spans="1:26" ht="15.75" thickBot="1" x14ac:dyDescent="0.3">
      <c r="A113" t="s">
        <v>209</v>
      </c>
      <c r="B113" t="s">
        <v>212</v>
      </c>
      <c r="C113" t="s">
        <v>213</v>
      </c>
      <c r="D113" s="25">
        <v>44778</v>
      </c>
      <c r="E113" s="15">
        <v>76000</v>
      </c>
      <c r="F113" t="s">
        <v>41</v>
      </c>
      <c r="G113" t="s">
        <v>29</v>
      </c>
      <c r="H113" s="15">
        <v>76000</v>
      </c>
      <c r="I113" s="15">
        <v>17300</v>
      </c>
      <c r="J113" s="20">
        <f>I113/H113*100</f>
        <v>22.763157894736842</v>
      </c>
      <c r="K113" s="15">
        <v>56628</v>
      </c>
      <c r="L113" s="15">
        <f>H113-49842</f>
        <v>26158</v>
      </c>
      <c r="M113" s="15">
        <v>6786</v>
      </c>
      <c r="N113" s="30">
        <v>45.239832</v>
      </c>
      <c r="O113" s="34">
        <v>105.714996</v>
      </c>
      <c r="P113" s="39">
        <v>0.107</v>
      </c>
      <c r="Q113" s="39">
        <v>0.107</v>
      </c>
      <c r="R113" s="15">
        <f>L113/N113</f>
        <v>578.20727539394932</v>
      </c>
      <c r="S113" s="15">
        <f>L113/P113</f>
        <v>244467.28971962616</v>
      </c>
      <c r="T113" s="44">
        <f>L113/P113/43560</f>
        <v>5.6121967336920608</v>
      </c>
      <c r="U113" s="39">
        <v>44</v>
      </c>
      <c r="V113" s="6" t="s">
        <v>208</v>
      </c>
      <c r="X113" t="s">
        <v>209</v>
      </c>
      <c r="Y113" s="7" t="s">
        <v>34</v>
      </c>
      <c r="Z113" t="s">
        <v>33</v>
      </c>
    </row>
    <row r="114" spans="1:26" ht="15.75" thickTop="1" x14ac:dyDescent="0.25">
      <c r="A114" s="8"/>
      <c r="B114" s="8"/>
      <c r="C114" s="8"/>
      <c r="D114" s="26" t="s">
        <v>222</v>
      </c>
      <c r="E114" s="16">
        <f>+SUM(E111:E113)</f>
        <v>198000</v>
      </c>
      <c r="F114" s="8"/>
      <c r="G114" s="8"/>
      <c r="H114" s="16">
        <f>+SUM(H111:H113)</f>
        <v>198000</v>
      </c>
      <c r="I114" s="16">
        <f>+SUM(I111:I113)</f>
        <v>65200</v>
      </c>
      <c r="J114" s="21"/>
      <c r="K114" s="16">
        <f>+SUM(K111:K113)</f>
        <v>194633</v>
      </c>
      <c r="L114" s="16">
        <f>+SUM(L111:L113)</f>
        <v>25054</v>
      </c>
      <c r="M114" s="16">
        <f>+SUM(M111:M113)</f>
        <v>21687</v>
      </c>
      <c r="N114" s="31">
        <f>+SUM(N111:N113)</f>
        <v>144.580613</v>
      </c>
      <c r="O114" s="35"/>
      <c r="P114" s="40">
        <f>+SUM(P111:P113)</f>
        <v>0.36</v>
      </c>
      <c r="Q114" s="40">
        <f>+SUM(Q111:Q113)</f>
        <v>0.36</v>
      </c>
      <c r="R114" s="16"/>
      <c r="S114" s="16"/>
      <c r="T114" s="45"/>
      <c r="U114" s="40"/>
      <c r="V114" s="9"/>
      <c r="W114" s="8"/>
      <c r="X114" s="8"/>
      <c r="Y114" s="8"/>
      <c r="Z114" s="8"/>
    </row>
    <row r="115" spans="1:26" x14ac:dyDescent="0.25">
      <c r="A115" s="10"/>
      <c r="B115" s="10"/>
      <c r="C115" s="10"/>
      <c r="D115" s="27"/>
      <c r="E115" s="17"/>
      <c r="F115" s="10"/>
      <c r="G115" s="10"/>
      <c r="H115" s="17"/>
      <c r="I115" s="17" t="s">
        <v>223</v>
      </c>
      <c r="J115" s="22">
        <f>I114/H114*100</f>
        <v>32.929292929292927</v>
      </c>
      <c r="K115" s="17"/>
      <c r="L115" s="17"/>
      <c r="M115" s="17" t="s">
        <v>224</v>
      </c>
      <c r="N115" s="32"/>
      <c r="O115" s="36"/>
      <c r="P115" s="41" t="s">
        <v>224</v>
      </c>
      <c r="Q115" s="41"/>
      <c r="R115" s="17"/>
      <c r="S115" s="17" t="s">
        <v>224</v>
      </c>
      <c r="T115" s="46"/>
      <c r="U115" s="41"/>
      <c r="V115" s="11"/>
      <c r="W115" s="10"/>
      <c r="X115" s="10"/>
      <c r="Y115" s="10"/>
      <c r="Z115" s="10"/>
    </row>
    <row r="116" spans="1:26" x14ac:dyDescent="0.25">
      <c r="A116" s="12"/>
      <c r="B116" s="12"/>
      <c r="C116" s="12"/>
      <c r="D116" s="28"/>
      <c r="E116" s="18"/>
      <c r="F116" s="12"/>
      <c r="G116" s="12"/>
      <c r="H116" s="18"/>
      <c r="I116" s="18" t="s">
        <v>225</v>
      </c>
      <c r="J116" s="23">
        <f>STDEV(J111:J113)</f>
        <v>11.147604096618547</v>
      </c>
      <c r="K116" s="18"/>
      <c r="L116" s="18"/>
      <c r="M116" s="18" t="s">
        <v>226</v>
      </c>
      <c r="N116" s="48">
        <f>L114/N114</f>
        <v>173.2874102560348</v>
      </c>
      <c r="O116" s="37"/>
      <c r="P116" s="42" t="s">
        <v>227</v>
      </c>
      <c r="Q116" s="42">
        <f>L114/P114</f>
        <v>69594.444444444453</v>
      </c>
      <c r="R116" s="18"/>
      <c r="S116" s="18" t="s">
        <v>228</v>
      </c>
      <c r="T116" s="47">
        <f>L114/P114/43560</f>
        <v>1.5976686052443629</v>
      </c>
      <c r="U116" s="42"/>
      <c r="V116" s="13"/>
      <c r="W116" s="12"/>
      <c r="X116" s="12"/>
      <c r="Y116" s="12"/>
      <c r="Z116" s="12"/>
    </row>
    <row r="117" spans="1:26" x14ac:dyDescent="0.25">
      <c r="L117" s="53" t="s">
        <v>233</v>
      </c>
      <c r="M117" s="53"/>
    </row>
    <row r="118" spans="1:26" x14ac:dyDescent="0.25">
      <c r="L118" s="53" t="s">
        <v>234</v>
      </c>
      <c r="M118" s="53"/>
    </row>
    <row r="119" spans="1:26" x14ac:dyDescent="0.25">
      <c r="L119" s="53" t="s">
        <v>237</v>
      </c>
      <c r="M119" s="52"/>
    </row>
  </sheetData>
  <sortState ref="A5:BM118">
    <sortCondition ref="R5:R118"/>
  </sortState>
  <conditionalFormatting sqref="B5:Z86 A96:Z98 A111:Z113">
    <cfRule type="expression" dxfId="5" priority="11" stopIfTrue="1">
      <formula>MOD(ROW(),4)&gt;1</formula>
    </cfRule>
    <cfRule type="expression" dxfId="4" priority="12" stopIfTrue="1">
      <formula>MOD(ROW(),4)&lt;2</formula>
    </cfRule>
  </conditionalFormatting>
  <conditionalFormatting sqref="A5:A86">
    <cfRule type="expression" dxfId="3" priority="9" stopIfTrue="1">
      <formula>MOD(ROW(),4)&gt;1</formula>
    </cfRule>
    <cfRule type="expression" dxfId="2" priority="10" stopIfTrue="1">
      <formula>MOD(ROW(),4)&lt;2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"/>
  <sheetViews>
    <sheetView topLeftCell="H1" workbookViewId="0">
      <selection activeCell="C18" sqref="C18"/>
    </sheetView>
  </sheetViews>
  <sheetFormatPr defaultRowHeight="15" x14ac:dyDescent="0.25"/>
  <cols>
    <col min="1" max="1" width="16.85546875" bestFit="1" customWidth="1"/>
    <col min="2" max="2" width="18.7109375" bestFit="1" customWidth="1"/>
    <col min="3" max="3" width="16.7109375" style="25" customWidth="1"/>
    <col min="4" max="4" width="17.7109375" style="15" customWidth="1"/>
    <col min="5" max="5" width="8.7109375" customWidth="1"/>
    <col min="6" max="6" width="49.7109375" customWidth="1"/>
    <col min="7" max="8" width="17.7109375" style="15" customWidth="1"/>
    <col min="9" max="9" width="18.7109375" style="20" customWidth="1"/>
    <col min="10" max="10" width="17.7109375" style="15" customWidth="1"/>
    <col min="11" max="11" width="18.7109375" style="15" customWidth="1"/>
    <col min="12" max="12" width="20.7109375" style="15" customWidth="1"/>
    <col min="13" max="13" width="17.7109375" style="30" customWidth="1"/>
    <col min="14" max="14" width="10.7109375" style="34" customWidth="1"/>
    <col min="15" max="15" width="14.7109375" style="39" customWidth="1"/>
    <col min="16" max="16" width="16.7109375" style="39" customWidth="1"/>
    <col min="17" max="17" width="15.7109375" style="15" customWidth="1"/>
    <col min="18" max="18" width="17.7109375" style="15" customWidth="1"/>
    <col min="19" max="19" width="17.7109375" style="44" customWidth="1"/>
    <col min="20" max="20" width="17.7109375" style="39" customWidth="1"/>
    <col min="21" max="21" width="20.7109375" style="5" customWidth="1"/>
    <col min="22" max="22" width="40.7109375" customWidth="1"/>
    <col min="23" max="23" width="15.7109375" customWidth="1"/>
    <col min="24" max="25" width="20.7109375" customWidth="1"/>
  </cols>
  <sheetData>
    <row r="1" spans="1:45" x14ac:dyDescent="0.25">
      <c r="A1" s="2" t="s">
        <v>0</v>
      </c>
      <c r="B1" s="2" t="s">
        <v>1</v>
      </c>
      <c r="C1" s="24" t="s">
        <v>2</v>
      </c>
      <c r="D1" s="14" t="s">
        <v>3</v>
      </c>
      <c r="E1" s="2" t="s">
        <v>4</v>
      </c>
      <c r="F1" s="2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4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x14ac:dyDescent="0.25">
      <c r="A2" t="s">
        <v>27</v>
      </c>
      <c r="B2" t="s">
        <v>28</v>
      </c>
      <c r="C2" s="25">
        <v>45376</v>
      </c>
      <c r="D2" s="15">
        <v>30000</v>
      </c>
      <c r="E2" t="s">
        <v>25</v>
      </c>
      <c r="F2" t="s">
        <v>29</v>
      </c>
      <c r="G2" s="15">
        <v>30000</v>
      </c>
      <c r="H2" s="15">
        <v>2800</v>
      </c>
      <c r="I2" s="20">
        <f>H2/G2*100</f>
        <v>9.3333333333333339</v>
      </c>
      <c r="J2" s="15">
        <v>7425</v>
      </c>
      <c r="K2" s="15">
        <f>G2-0</f>
        <v>30000</v>
      </c>
      <c r="L2" s="15">
        <v>7425</v>
      </c>
      <c r="M2" s="30">
        <v>42.426406999999998</v>
      </c>
      <c r="N2" s="34">
        <v>100</v>
      </c>
      <c r="O2" s="39">
        <v>0.13800000000000001</v>
      </c>
      <c r="P2" s="39">
        <v>0.13800000000000001</v>
      </c>
      <c r="Q2" s="15">
        <f>K2/M2</f>
        <v>707.10677903976182</v>
      </c>
      <c r="R2" s="15">
        <f>K2/O2</f>
        <v>217391.30434782608</v>
      </c>
      <c r="S2" s="44">
        <f>K2/O2/43560</f>
        <v>4.9906176388389829</v>
      </c>
      <c r="T2" s="39">
        <v>60</v>
      </c>
      <c r="U2" s="6" t="s">
        <v>30</v>
      </c>
      <c r="W2" t="s">
        <v>31</v>
      </c>
      <c r="X2" s="7" t="s">
        <v>32</v>
      </c>
      <c r="Y2" t="s">
        <v>33</v>
      </c>
    </row>
    <row r="3" spans="1:45" x14ac:dyDescent="0.25">
      <c r="A3" t="s">
        <v>65</v>
      </c>
      <c r="B3" t="s">
        <v>66</v>
      </c>
      <c r="C3" s="25">
        <v>44946</v>
      </c>
      <c r="D3" s="15">
        <v>10500</v>
      </c>
      <c r="E3" t="s">
        <v>41</v>
      </c>
      <c r="F3" t="s">
        <v>26</v>
      </c>
      <c r="G3" s="15">
        <v>10500</v>
      </c>
      <c r="H3" s="15">
        <v>2700</v>
      </c>
      <c r="I3" s="20">
        <f>H3/G3*100</f>
        <v>25.714285714285712</v>
      </c>
      <c r="J3" s="15">
        <v>7815</v>
      </c>
      <c r="K3" s="15">
        <f>G3-0</f>
        <v>10500</v>
      </c>
      <c r="L3" s="15">
        <v>7815</v>
      </c>
      <c r="M3" s="30">
        <v>44.655346999999999</v>
      </c>
      <c r="N3" s="34">
        <v>132.94000199999999</v>
      </c>
      <c r="O3" s="39">
        <v>0.153</v>
      </c>
      <c r="P3" s="39">
        <v>0.153</v>
      </c>
      <c r="Q3" s="15">
        <f>K3/M3</f>
        <v>235.13421584205807</v>
      </c>
      <c r="R3" s="15">
        <f>K3/O3</f>
        <v>68627.450980392154</v>
      </c>
      <c r="S3" s="44">
        <f>K3/O3/43560</f>
        <v>1.5754694899079924</v>
      </c>
      <c r="T3" s="39">
        <v>50</v>
      </c>
      <c r="U3" s="6" t="s">
        <v>30</v>
      </c>
      <c r="W3" t="s">
        <v>31</v>
      </c>
      <c r="X3" s="7" t="s">
        <v>32</v>
      </c>
      <c r="Y3" t="s">
        <v>33</v>
      </c>
    </row>
    <row r="4" spans="1:45" ht="15.75" thickBot="1" x14ac:dyDescent="0.3">
      <c r="A4" t="s">
        <v>123</v>
      </c>
      <c r="B4" t="s">
        <v>124</v>
      </c>
      <c r="C4" s="25">
        <v>45121</v>
      </c>
      <c r="D4" s="15">
        <v>70000</v>
      </c>
      <c r="E4" t="s">
        <v>41</v>
      </c>
      <c r="F4" t="s">
        <v>29</v>
      </c>
      <c r="G4" s="15">
        <v>70000</v>
      </c>
      <c r="H4" s="15">
        <v>2800</v>
      </c>
      <c r="I4" s="20">
        <f>H4/G4*100</f>
        <v>4</v>
      </c>
      <c r="J4" s="15">
        <v>3900</v>
      </c>
      <c r="K4" s="15">
        <f>G4-0</f>
        <v>70000</v>
      </c>
      <c r="L4" s="15">
        <v>3900</v>
      </c>
      <c r="M4" s="30">
        <v>43.671675</v>
      </c>
      <c r="N4" s="34">
        <v>60.720001000000003</v>
      </c>
      <c r="O4" s="39">
        <v>6.9000000000000006E-2</v>
      </c>
      <c r="P4" s="39">
        <v>0.14599999999999999</v>
      </c>
      <c r="Q4" s="15">
        <f>K4/M4</f>
        <v>1602.8695945369625</v>
      </c>
      <c r="R4" s="15">
        <f>K4/O4</f>
        <v>1014492.7536231884</v>
      </c>
      <c r="S4" s="44">
        <f>K4/O4/43560</f>
        <v>23.289548981248586</v>
      </c>
      <c r="T4" s="39">
        <v>104.7</v>
      </c>
      <c r="U4" s="6" t="s">
        <v>30</v>
      </c>
      <c r="V4" t="s">
        <v>125</v>
      </c>
      <c r="W4" t="s">
        <v>31</v>
      </c>
      <c r="X4" s="7" t="s">
        <v>32</v>
      </c>
      <c r="Y4" t="s">
        <v>33</v>
      </c>
    </row>
    <row r="5" spans="1:45" ht="15.75" thickTop="1" x14ac:dyDescent="0.25">
      <c r="A5" s="8"/>
      <c r="B5" s="8"/>
      <c r="C5" s="26" t="s">
        <v>222</v>
      </c>
      <c r="D5" s="16">
        <f>+SUM(D2:D4)</f>
        <v>110500</v>
      </c>
      <c r="E5" s="8"/>
      <c r="F5" s="8"/>
      <c r="G5" s="16">
        <f>+SUM(G2:G4)</f>
        <v>110500</v>
      </c>
      <c r="H5" s="16">
        <f>+SUM(H2:H4)</f>
        <v>8300</v>
      </c>
      <c r="I5" s="21"/>
      <c r="J5" s="16">
        <f>+SUM(J2:J4)</f>
        <v>19140</v>
      </c>
      <c r="K5" s="16">
        <f>+SUM(K2:K4)</f>
        <v>110500</v>
      </c>
      <c r="L5" s="16">
        <f>+SUM(L2:L4)</f>
        <v>19140</v>
      </c>
      <c r="M5" s="31">
        <f>+SUM(M2:M4)</f>
        <v>130.75342899999998</v>
      </c>
      <c r="N5" s="35"/>
      <c r="O5" s="40">
        <f>+SUM(O2:O4)</f>
        <v>0.36000000000000004</v>
      </c>
      <c r="P5" s="40">
        <f>+SUM(P2:P4)</f>
        <v>0.43700000000000006</v>
      </c>
      <c r="Q5" s="16"/>
      <c r="R5" s="16"/>
      <c r="S5" s="45"/>
      <c r="T5" s="40"/>
      <c r="U5" s="9"/>
      <c r="V5" s="8"/>
      <c r="W5" s="8"/>
      <c r="X5" s="8"/>
      <c r="Y5" s="8"/>
    </row>
    <row r="6" spans="1:45" x14ac:dyDescent="0.25">
      <c r="A6" s="10"/>
      <c r="B6" s="10"/>
      <c r="C6" s="27"/>
      <c r="D6" s="17"/>
      <c r="E6" s="10"/>
      <c r="F6" s="10"/>
      <c r="G6" s="17"/>
      <c r="H6" s="17" t="s">
        <v>223</v>
      </c>
      <c r="I6" s="22">
        <f>H5/G5*100</f>
        <v>7.5113122171945701</v>
      </c>
      <c r="J6" s="17"/>
      <c r="K6" s="17"/>
      <c r="L6" s="17" t="s">
        <v>224</v>
      </c>
      <c r="M6" s="32"/>
      <c r="N6" s="36"/>
      <c r="O6" s="41" t="s">
        <v>224</v>
      </c>
      <c r="P6" s="41"/>
      <c r="Q6" s="17"/>
      <c r="R6" s="17" t="s">
        <v>224</v>
      </c>
      <c r="S6" s="46"/>
      <c r="T6" s="41"/>
      <c r="U6" s="11"/>
      <c r="V6" s="10"/>
      <c r="W6" s="10"/>
      <c r="X6" s="10"/>
      <c r="Y6" s="10"/>
    </row>
    <row r="7" spans="1:45" x14ac:dyDescent="0.25">
      <c r="A7" s="12"/>
      <c r="B7" s="12"/>
      <c r="C7" s="28"/>
      <c r="D7" s="18"/>
      <c r="E7" s="12"/>
      <c r="F7" s="12"/>
      <c r="G7" s="18"/>
      <c r="H7" s="18" t="s">
        <v>225</v>
      </c>
      <c r="I7" s="23">
        <f>STDEV(I2:I4)</f>
        <v>11.315846186013564</v>
      </c>
      <c r="J7" s="18"/>
      <c r="K7" s="18"/>
      <c r="L7" s="18" t="s">
        <v>226</v>
      </c>
      <c r="M7" s="48">
        <f>K5/M5</f>
        <v>845.10211965454471</v>
      </c>
      <c r="N7" s="37"/>
      <c r="O7" s="42" t="s">
        <v>227</v>
      </c>
      <c r="P7" s="42">
        <f>K5/O5</f>
        <v>306944.44444444438</v>
      </c>
      <c r="Q7" s="18"/>
      <c r="R7" s="18" t="s">
        <v>228</v>
      </c>
      <c r="S7" s="47">
        <f>K5/O5/43560</f>
        <v>7.0464748495051515</v>
      </c>
      <c r="T7" s="42"/>
      <c r="U7" s="13"/>
      <c r="V7" s="12"/>
      <c r="W7" s="12"/>
      <c r="X7" s="12"/>
      <c r="Y7" s="12"/>
    </row>
  </sheetData>
  <sortState ref="A2:BL122">
    <sortCondition ref="X2:X122"/>
  </sortState>
  <conditionalFormatting sqref="A2:Y4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Table Breakdown Analysis</vt:lpstr>
      <vt:lpstr>Vacant Land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Powers</dc:creator>
  <cp:lastModifiedBy>Aaron Powers</cp:lastModifiedBy>
  <dcterms:created xsi:type="dcterms:W3CDTF">2025-01-13T16:16:37Z</dcterms:created>
  <dcterms:modified xsi:type="dcterms:W3CDTF">2025-01-13T16:30:31Z</dcterms:modified>
</cp:coreProperties>
</file>